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4"/>
  </bookViews>
  <sheets>
    <sheet name="SST Rifampicin" sheetId="1" r:id="rId1"/>
    <sheet name="Rifampicin " sheetId="7" r:id="rId2"/>
    <sheet name="Uniformity" sheetId="2" r:id="rId3"/>
    <sheet name="SST Isoniazid" sheetId="5" r:id="rId4"/>
    <sheet name="Isoniazid " sheetId="8" r:id="rId5"/>
  </sheets>
  <definedNames>
    <definedName name="_xlnm.Print_Area" localSheetId="4">'Isoniazid '!$A$1:$I$124</definedName>
    <definedName name="_xlnm.Print_Area" localSheetId="1">'Rifampicin '!$A$1:$I$124</definedName>
    <definedName name="_xlnm.Print_Area" localSheetId="3">'SST Isoniazid'!$A$15:$G$61</definedName>
    <definedName name="_xlnm.Print_Area" localSheetId="0">'SST Rifampicin'!$A$15:$G$61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42" i="5" l="1"/>
  <c r="B42" i="1"/>
  <c r="C120" i="8"/>
  <c r="B116" i="8"/>
  <c r="D100" i="8"/>
  <c r="B98" i="8"/>
  <c r="D101" i="8" s="1"/>
  <c r="D102" i="8" s="1"/>
  <c r="F97" i="8"/>
  <c r="D97" i="8"/>
  <c r="F95" i="8"/>
  <c r="D95" i="8"/>
  <c r="G94" i="8"/>
  <c r="E94" i="8"/>
  <c r="B87" i="8"/>
  <c r="B81" i="8"/>
  <c r="B83" i="8" s="1"/>
  <c r="B80" i="8"/>
  <c r="B79" i="8"/>
  <c r="C76" i="8"/>
  <c r="H71" i="8"/>
  <c r="G71" i="8"/>
  <c r="B68" i="8"/>
  <c r="B69" i="8" s="1"/>
  <c r="H67" i="8"/>
  <c r="G67" i="8"/>
  <c r="H63" i="8"/>
  <c r="G63" i="8"/>
  <c r="B57" i="8"/>
  <c r="C56" i="8"/>
  <c r="B55" i="8"/>
  <c r="D48" i="8"/>
  <c r="B45" i="8"/>
  <c r="F42" i="8"/>
  <c r="D42" i="8"/>
  <c r="G41" i="8"/>
  <c r="E41" i="8"/>
  <c r="I39" i="8"/>
  <c r="B34" i="8"/>
  <c r="F44" i="8" s="1"/>
  <c r="F45" i="8" s="1"/>
  <c r="F46" i="8" s="1"/>
  <c r="B30" i="8"/>
  <c r="C120" i="7"/>
  <c r="B116" i="7"/>
  <c r="D100" i="7"/>
  <c r="B98" i="7"/>
  <c r="D101" i="7" s="1"/>
  <c r="F95" i="7"/>
  <c r="D95" i="7"/>
  <c r="G94" i="7"/>
  <c r="E94" i="7"/>
  <c r="B87" i="7"/>
  <c r="F97" i="7" s="1"/>
  <c r="F98" i="7" s="1"/>
  <c r="F99" i="7" s="1"/>
  <c r="B81" i="7"/>
  <c r="B83" i="7" s="1"/>
  <c r="B80" i="7"/>
  <c r="B79" i="7"/>
  <c r="C76" i="7"/>
  <c r="H71" i="7"/>
  <c r="G71" i="7"/>
  <c r="B68" i="7"/>
  <c r="B69" i="7" s="1"/>
  <c r="H67" i="7"/>
  <c r="G67" i="7"/>
  <c r="H63" i="7"/>
  <c r="G63" i="7"/>
  <c r="B57" i="7"/>
  <c r="C56" i="7"/>
  <c r="B55" i="7"/>
  <c r="B45" i="7"/>
  <c r="D48" i="7" s="1"/>
  <c r="F44" i="7"/>
  <c r="F45" i="7" s="1"/>
  <c r="F46" i="7" s="1"/>
  <c r="F42" i="7"/>
  <c r="I39" i="7" s="1"/>
  <c r="D42" i="7"/>
  <c r="G41" i="7"/>
  <c r="E41" i="7"/>
  <c r="B34" i="7"/>
  <c r="D44" i="7" s="1"/>
  <c r="D45" i="7" s="1"/>
  <c r="D46" i="7" s="1"/>
  <c r="B30" i="7"/>
  <c r="F98" i="8" l="1"/>
  <c r="G93" i="8" s="1"/>
  <c r="I92" i="8"/>
  <c r="E40" i="8"/>
  <c r="D98" i="8"/>
  <c r="G38" i="8"/>
  <c r="D44" i="8"/>
  <c r="D45" i="8" s="1"/>
  <c r="D49" i="8"/>
  <c r="E39" i="8"/>
  <c r="G40" i="8"/>
  <c r="G39" i="8"/>
  <c r="E91" i="8"/>
  <c r="I92" i="7"/>
  <c r="D49" i="7"/>
  <c r="E40" i="7"/>
  <c r="G38" i="7"/>
  <c r="G42" i="7" s="1"/>
  <c r="E38" i="7"/>
  <c r="G40" i="7"/>
  <c r="G39" i="7"/>
  <c r="E39" i="7"/>
  <c r="D102" i="7"/>
  <c r="G93" i="7"/>
  <c r="G92" i="7"/>
  <c r="E93" i="7"/>
  <c r="G91" i="7"/>
  <c r="D97" i="7"/>
  <c r="D98" i="7" s="1"/>
  <c r="D99" i="7" s="1"/>
  <c r="G92" i="8" l="1"/>
  <c r="F99" i="8"/>
  <c r="G91" i="8"/>
  <c r="G42" i="8"/>
  <c r="D99" i="8"/>
  <c r="E92" i="8"/>
  <c r="E93" i="8"/>
  <c r="E38" i="8"/>
  <c r="D46" i="8"/>
  <c r="G95" i="7"/>
  <c r="D50" i="7"/>
  <c r="E42" i="7"/>
  <c r="D52" i="7"/>
  <c r="E91" i="7"/>
  <c r="E92" i="7"/>
  <c r="G95" i="8" l="1"/>
  <c r="E95" i="8"/>
  <c r="D52" i="8"/>
  <c r="D50" i="8"/>
  <c r="E42" i="8"/>
  <c r="D103" i="8"/>
  <c r="D105" i="8"/>
  <c r="E95" i="7"/>
  <c r="D105" i="7"/>
  <c r="D103" i="7"/>
  <c r="G68" i="7"/>
  <c r="H68" i="7" s="1"/>
  <c r="G70" i="7"/>
  <c r="H70" i="7" s="1"/>
  <c r="G65" i="7"/>
  <c r="H65" i="7" s="1"/>
  <c r="G61" i="7"/>
  <c r="H61" i="7" s="1"/>
  <c r="G69" i="7"/>
  <c r="H69" i="7" s="1"/>
  <c r="G66" i="7"/>
  <c r="H66" i="7" s="1"/>
  <c r="G64" i="7"/>
  <c r="H64" i="7" s="1"/>
  <c r="G62" i="7"/>
  <c r="H62" i="7" s="1"/>
  <c r="G60" i="7"/>
  <c r="D51" i="7"/>
  <c r="G68" i="8" l="1"/>
  <c r="H68" i="8" s="1"/>
  <c r="G69" i="8"/>
  <c r="H69" i="8" s="1"/>
  <c r="G66" i="8"/>
  <c r="H66" i="8" s="1"/>
  <c r="G64" i="8"/>
  <c r="H64" i="8" s="1"/>
  <c r="G62" i="8"/>
  <c r="H62" i="8" s="1"/>
  <c r="G60" i="8"/>
  <c r="D51" i="8"/>
  <c r="G70" i="8"/>
  <c r="H70" i="8" s="1"/>
  <c r="G65" i="8"/>
  <c r="H65" i="8" s="1"/>
  <c r="G61" i="8"/>
  <c r="H61" i="8" s="1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E112" i="7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H60" i="7"/>
  <c r="G74" i="7"/>
  <c r="G72" i="7"/>
  <c r="G73" i="7" s="1"/>
  <c r="H60" i="8" l="1"/>
  <c r="G74" i="8"/>
  <c r="G72" i="8"/>
  <c r="G73" i="8" s="1"/>
  <c r="E115" i="8"/>
  <c r="E116" i="8" s="1"/>
  <c r="E117" i="8"/>
  <c r="F108" i="8"/>
  <c r="E115" i="7"/>
  <c r="E116" i="7" s="1"/>
  <c r="E117" i="7"/>
  <c r="F108" i="7"/>
  <c r="H74" i="7"/>
  <c r="H72" i="7"/>
  <c r="F117" i="8" l="1"/>
  <c r="F115" i="8"/>
  <c r="H74" i="8"/>
  <c r="H72" i="8"/>
  <c r="F117" i="7"/>
  <c r="F115" i="7"/>
  <c r="G76" i="7"/>
  <c r="H73" i="7"/>
  <c r="G120" i="8" l="1"/>
  <c r="F116" i="8"/>
  <c r="G76" i="8"/>
  <c r="H73" i="8"/>
  <c r="G120" i="7"/>
  <c r="F116" i="7"/>
  <c r="B32" i="5" l="1"/>
  <c r="E30" i="5"/>
  <c r="D30" i="5"/>
  <c r="C30" i="5"/>
  <c r="B30" i="5"/>
  <c r="B31" i="5" s="1"/>
  <c r="C46" i="2" l="1"/>
  <c r="D33" i="2" s="1"/>
  <c r="C45" i="2"/>
  <c r="C19" i="2"/>
  <c r="B32" i="1"/>
  <c r="E30" i="1"/>
  <c r="D30" i="1"/>
  <c r="C30" i="1"/>
  <c r="B30" i="1"/>
  <c r="B31" i="1" s="1"/>
  <c r="D29" i="2" l="1"/>
  <c r="D50" i="2"/>
  <c r="B49" i="2"/>
  <c r="D42" i="2"/>
  <c r="D38" i="2"/>
  <c r="D34" i="2"/>
  <c r="D30" i="2"/>
  <c r="D26" i="2"/>
  <c r="D49" i="2"/>
  <c r="D40" i="2"/>
  <c r="D36" i="2"/>
  <c r="D32" i="2"/>
  <c r="D28" i="2"/>
  <c r="D24" i="2"/>
  <c r="C49" i="2"/>
  <c r="D43" i="2"/>
  <c r="D39" i="2"/>
  <c r="D35" i="2"/>
  <c r="D31" i="2"/>
  <c r="D27" i="2"/>
  <c r="D37" i="2"/>
  <c r="C50" i="2"/>
  <c r="D25" i="2"/>
  <c r="D41" i="2"/>
</calcChain>
</file>

<file path=xl/sharedStrings.xml><?xml version="1.0" encoding="utf-8"?>
<sst xmlns="http://schemas.openxmlformats.org/spreadsheetml/2006/main" count="442" uniqueCount="132">
  <si>
    <t>HPLC System Suitability Report</t>
  </si>
  <si>
    <t>Analysis Data</t>
  </si>
  <si>
    <t>Assay</t>
  </si>
  <si>
    <t>Sample(s)</t>
  </si>
  <si>
    <t>Reference Substance:</t>
  </si>
  <si>
    <t>RIFAMPICIN 150MG, ISONIAZID 75MG TABLETS</t>
  </si>
  <si>
    <t>% age Purity:</t>
  </si>
  <si>
    <t>NDQD2016061092</t>
  </si>
  <si>
    <t>Weight (mg):</t>
  </si>
  <si>
    <t>Rifampicin, Isoniazid</t>
  </si>
  <si>
    <t>Standard Conc (mg/mL):</t>
  </si>
  <si>
    <t>Each Tablet contains: Rifampicin 150mg, Isoniazid 75mg</t>
  </si>
  <si>
    <t>2016-06-09 15:22:28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</si>
  <si>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</si>
  <si>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</si>
  <si>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</si>
  <si>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</si>
  <si>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</si>
  <si>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</si>
  <si>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</si>
  <si>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</si>
  <si>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</si>
  <si>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</si>
  <si>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</si>
  <si>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</si>
  <si>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</si>
  <si>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</si>
  <si>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</si>
  <si>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</si>
  <si>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</si>
  <si>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</si>
  <si>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</si>
  <si>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</si>
  <si>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</si>
  <si>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</si>
  <si>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</si>
  <si>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</si>
  <si>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</si>
  <si>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</si>
  <si>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</si>
  <si>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</si>
  <si>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</si>
  <si>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</si>
  <si>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</si>
  <si>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</si>
  <si>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</si>
  <si>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</si>
  <si>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</si>
  <si>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</si>
  <si>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</si>
  <si>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</si>
  <si>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</si>
  <si>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</si>
  <si>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</si>
  <si>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</si>
  <si>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</si>
  <si>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</si>
  <si>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</si>
  <si>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</si>
  <si>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</si>
  <si>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</si>
  <si>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</si>
  <si>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</si>
  <si>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</si>
  <si>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</si>
  <si>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</si>
  <si>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</si>
  <si>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</si>
  <si>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</si>
  <si>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</si>
  <si>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</si>
  <si>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</si>
  <si>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</si>
  <si>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</si>
  <si>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</si>
  <si>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</si>
  <si>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</si>
  <si>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</si>
  <si>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</si>
  <si>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</si>
  <si>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</si>
  <si>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</si>
  <si>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</si>
  <si>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</si>
  <si>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</si>
  <si>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</si>
  <si>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</si>
  <si>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</si>
  <si>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</si>
  <si>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</si>
  <si>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</si>
  <si>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</si>
  <si>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</si>
  <si>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</si>
  <si>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</si>
  <si>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</si>
  <si>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</si>
  <si>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</si>
  <si>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</si>
  <si>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</si>
  <si>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</si>
  <si>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</si>
  <si>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</si>
  <si>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</si>
  <si>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</si>
  <si>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</si>
  <si>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</si>
  <si>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</si>
  <si>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</si>
  <si>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</si>
  <si>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</si>
  <si>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</si>
  <si>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</si>
  <si>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</si>
  <si>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</si>
  <si>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</si>
  <si>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</si>
  <si>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</si>
  <si>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</si>
  <si>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</si>
  <si>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</si>
  <si>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</si>
  <si>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</si>
  <si>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</si>
  <si>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</si>
  <si>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 and Isoniazid Tablets</t>
  </si>
  <si>
    <t>Rifampicin</t>
  </si>
  <si>
    <t>Isoniazid</t>
  </si>
  <si>
    <t>RUTTO/JOYFRIDA</t>
  </si>
  <si>
    <t>R5-1</t>
  </si>
  <si>
    <t>I8-2</t>
  </si>
  <si>
    <t>17/06/2016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</si>
</sst>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43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C46" sqref="C4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63" t="s">
        <v>0</v>
      </c>
      <c r="B15" s="263"/>
      <c r="C15" s="263"/>
      <c r="D15" s="263"/>
      <c r="E15" s="2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125</v>
      </c>
      <c r="D17" s="9"/>
      <c r="E17" s="10"/>
    </row>
    <row r="18" spans="1:6" ht="16.5" customHeight="1" x14ac:dyDescent="0.3">
      <c r="A18" s="11" t="s">
        <v>4</v>
      </c>
      <c r="B18" s="8" t="s">
        <v>126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17.760000000000002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0.17760000000000001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55614940</v>
      </c>
      <c r="C24" s="18">
        <v>47038.55</v>
      </c>
      <c r="D24" s="19">
        <v>1.1599999999999999</v>
      </c>
      <c r="E24" s="20">
        <v>8.44</v>
      </c>
    </row>
    <row r="25" spans="1:6" ht="16.5" customHeight="1" x14ac:dyDescent="0.3">
      <c r="A25" s="17">
        <v>2</v>
      </c>
      <c r="B25" s="18">
        <v>55569776</v>
      </c>
      <c r="C25" s="18">
        <v>46456.2</v>
      </c>
      <c r="D25" s="19">
        <v>1.1499999999999999</v>
      </c>
      <c r="E25" s="19">
        <v>8.43</v>
      </c>
    </row>
    <row r="26" spans="1:6" ht="16.5" customHeight="1" x14ac:dyDescent="0.3">
      <c r="A26" s="17">
        <v>3</v>
      </c>
      <c r="B26" s="18">
        <v>55651146</v>
      </c>
      <c r="C26" s="18">
        <v>45939.519999999997</v>
      </c>
      <c r="D26" s="19">
        <v>1.1599999999999999</v>
      </c>
      <c r="E26" s="19">
        <v>8.44</v>
      </c>
    </row>
    <row r="27" spans="1:6" ht="16.5" customHeight="1" x14ac:dyDescent="0.3">
      <c r="A27" s="17">
        <v>4</v>
      </c>
      <c r="B27" s="18">
        <v>55563145</v>
      </c>
      <c r="C27" s="18">
        <v>45537.3</v>
      </c>
      <c r="D27" s="19">
        <v>1.1499999999999999</v>
      </c>
      <c r="E27" s="19">
        <v>8.43</v>
      </c>
    </row>
    <row r="28" spans="1:6" ht="16.5" customHeight="1" x14ac:dyDescent="0.3">
      <c r="A28" s="17">
        <v>5</v>
      </c>
      <c r="B28" s="18">
        <v>55402899</v>
      </c>
      <c r="C28" s="18">
        <v>45640.37</v>
      </c>
      <c r="D28" s="19">
        <v>1.1299999999999999</v>
      </c>
      <c r="E28" s="19">
        <v>8.43</v>
      </c>
    </row>
    <row r="29" spans="1:6" ht="16.5" customHeight="1" x14ac:dyDescent="0.3">
      <c r="A29" s="17">
        <v>6</v>
      </c>
      <c r="B29" s="21">
        <v>55374159</v>
      </c>
      <c r="C29" s="21">
        <v>45461.47</v>
      </c>
      <c r="D29" s="22">
        <v>1.1299999999999999</v>
      </c>
      <c r="E29" s="22">
        <v>8.43</v>
      </c>
    </row>
    <row r="30" spans="1:6" ht="16.5" customHeight="1" x14ac:dyDescent="0.3">
      <c r="A30" s="23" t="s">
        <v>18</v>
      </c>
      <c r="B30" s="24">
        <f>AVERAGE(B24:B29)</f>
        <v>55529344.166666664</v>
      </c>
      <c r="C30" s="25">
        <f>AVERAGE(C24:C29)</f>
        <v>46012.235000000008</v>
      </c>
      <c r="D30" s="26">
        <f>AVERAGE(D24:D29)</f>
        <v>1.1466666666666665</v>
      </c>
      <c r="E30" s="26">
        <f>AVERAGE(E24:E29)</f>
        <v>8.4333333333333318</v>
      </c>
    </row>
    <row r="31" spans="1:6" ht="16.5" customHeight="1" x14ac:dyDescent="0.3">
      <c r="A31" s="27" t="s">
        <v>19</v>
      </c>
      <c r="B31" s="28">
        <f>(STDEV(B24:B29)/B30)</f>
        <v>2.0534484379514679E-3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126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15.13</v>
      </c>
      <c r="C41" s="10"/>
      <c r="D41" s="10"/>
      <c r="E41" s="10"/>
    </row>
    <row r="42" spans="1:6" ht="16.5" customHeight="1" x14ac:dyDescent="0.3">
      <c r="A42" s="7" t="s">
        <v>10</v>
      </c>
      <c r="B42" s="13">
        <f>15.13/100</f>
        <v>0.15130000000000002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47114377</v>
      </c>
      <c r="C45" s="18">
        <v>73369.66</v>
      </c>
      <c r="D45" s="19">
        <v>0.99</v>
      </c>
      <c r="E45" s="20">
        <v>7.42</v>
      </c>
    </row>
    <row r="46" spans="1:6" ht="16.5" customHeight="1" x14ac:dyDescent="0.3">
      <c r="A46" s="17">
        <v>2</v>
      </c>
      <c r="B46" s="18">
        <v>47107014</v>
      </c>
      <c r="C46" s="18">
        <v>73824</v>
      </c>
      <c r="D46" s="19">
        <v>0.99</v>
      </c>
      <c r="E46" s="19">
        <v>7.42</v>
      </c>
    </row>
    <row r="47" spans="1:6" ht="16.5" customHeight="1" x14ac:dyDescent="0.3">
      <c r="A47" s="17">
        <v>3</v>
      </c>
      <c r="B47" s="18">
        <v>47140956</v>
      </c>
      <c r="C47" s="18">
        <v>73547.06</v>
      </c>
      <c r="D47" s="19">
        <v>1.01</v>
      </c>
      <c r="E47" s="19">
        <v>7.42</v>
      </c>
    </row>
    <row r="48" spans="1:6" ht="16.5" customHeight="1" x14ac:dyDescent="0.3">
      <c r="A48" s="17">
        <v>4</v>
      </c>
      <c r="B48" s="18">
        <v>47060782</v>
      </c>
      <c r="C48" s="18">
        <v>73867.710000000006</v>
      </c>
      <c r="D48" s="19">
        <v>1.03</v>
      </c>
      <c r="E48" s="19">
        <v>7.42</v>
      </c>
    </row>
    <row r="49" spans="1:7" ht="16.5" customHeight="1" x14ac:dyDescent="0.3">
      <c r="A49" s="17">
        <v>5</v>
      </c>
      <c r="B49" s="18">
        <v>47067596</v>
      </c>
      <c r="C49" s="18">
        <v>73690.820000000007</v>
      </c>
      <c r="D49" s="19">
        <v>1</v>
      </c>
      <c r="E49" s="19">
        <v>7.42</v>
      </c>
    </row>
    <row r="50" spans="1:7" ht="16.5" customHeight="1" x14ac:dyDescent="0.3">
      <c r="A50" s="17">
        <v>6</v>
      </c>
      <c r="B50" s="21">
        <v>47266188</v>
      </c>
      <c r="C50" s="21">
        <v>74012.02</v>
      </c>
      <c r="D50" s="22">
        <v>1.05</v>
      </c>
      <c r="E50" s="22">
        <v>7.42</v>
      </c>
    </row>
    <row r="51" spans="1:7" ht="16.5" customHeight="1" x14ac:dyDescent="0.3">
      <c r="A51" s="23" t="s">
        <v>18</v>
      </c>
      <c r="B51" s="24">
        <v>47126152</v>
      </c>
      <c r="C51" s="25">
        <v>73719</v>
      </c>
      <c r="D51" s="26">
        <v>1.01</v>
      </c>
      <c r="E51" s="26">
        <v>7.42</v>
      </c>
    </row>
    <row r="52" spans="1:7" ht="16.5" customHeight="1" x14ac:dyDescent="0.3">
      <c r="A52" s="27" t="s">
        <v>19</v>
      </c>
      <c r="B52" s="28">
        <v>1.6000000000000001E-3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64" t="s">
        <v>26</v>
      </c>
      <c r="C59" s="26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128</v>
      </c>
      <c r="C60" s="48"/>
      <c r="E60" s="48" t="s">
        <v>131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1" zoomScale="50" zoomScaleNormal="40" zoomScalePageLayoutView="50" workbookViewId="0">
      <selection activeCell="D110" sqref="D110"/>
    </sheetView>
  </sheetViews>
  <sheetFormatPr defaultColWidth="9.140625" defaultRowHeight="13.5" x14ac:dyDescent="0.25"/>
  <cols>
    <col min="1" max="1" width="55.42578125" style="206" customWidth="1"/>
    <col min="2" max="2" width="33.7109375" style="206" customWidth="1"/>
    <col min="3" max="3" width="42.28515625" style="206" customWidth="1"/>
    <col min="4" max="4" width="30.5703125" style="206" customWidth="1"/>
    <col min="5" max="5" width="39.85546875" style="206" customWidth="1"/>
    <col min="6" max="6" width="30.7109375" style="206" customWidth="1"/>
    <col min="7" max="7" width="39.85546875" style="206" customWidth="1"/>
    <col min="8" max="8" width="30" style="206" customWidth="1"/>
    <col min="9" max="9" width="30.28515625" style="206" hidden="1" customWidth="1"/>
    <col min="10" max="10" width="30.42578125" style="206" customWidth="1"/>
    <col min="11" max="11" width="21.28515625" style="206" customWidth="1"/>
    <col min="12" max="12" width="9.140625" style="206"/>
    <col min="13" max="16384" width="9.140625" style="44"/>
  </cols>
  <sheetData>
    <row r="1" spans="1:9" ht="18.75" customHeight="1" x14ac:dyDescent="0.25">
      <c r="A1" s="295" t="s">
        <v>45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46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thickBot="1" x14ac:dyDescent="0.35">
      <c r="A15" s="188"/>
    </row>
    <row r="16" spans="1:9" ht="19.5" customHeight="1" thickBot="1" x14ac:dyDescent="0.35">
      <c r="A16" s="297" t="s">
        <v>31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25">
      <c r="A17" s="300" t="s">
        <v>47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4">
      <c r="A18" s="98" t="s">
        <v>33</v>
      </c>
      <c r="B18" s="301" t="s">
        <v>5</v>
      </c>
      <c r="C18" s="301"/>
      <c r="D18" s="242"/>
      <c r="E18" s="99"/>
      <c r="F18" s="255"/>
      <c r="G18" s="255"/>
      <c r="H18" s="255"/>
    </row>
    <row r="19" spans="1:14" ht="26.25" customHeight="1" x14ac:dyDescent="0.4">
      <c r="A19" s="98" t="s">
        <v>34</v>
      </c>
      <c r="B19" s="257" t="s">
        <v>7</v>
      </c>
      <c r="C19" s="255">
        <v>29</v>
      </c>
      <c r="D19" s="255"/>
      <c r="E19" s="255"/>
      <c r="F19" s="255"/>
      <c r="G19" s="255"/>
      <c r="H19" s="255"/>
    </row>
    <row r="20" spans="1:14" ht="26.25" customHeight="1" x14ac:dyDescent="0.4">
      <c r="A20" s="98" t="s">
        <v>35</v>
      </c>
      <c r="B20" s="302" t="s">
        <v>126</v>
      </c>
      <c r="C20" s="302"/>
      <c r="D20" s="255"/>
      <c r="E20" s="255"/>
      <c r="F20" s="255"/>
      <c r="G20" s="255"/>
      <c r="H20" s="255"/>
    </row>
    <row r="21" spans="1:14" ht="26.25" customHeight="1" x14ac:dyDescent="0.4">
      <c r="A21" s="98" t="s">
        <v>36</v>
      </c>
      <c r="B21" s="302" t="s">
        <v>11</v>
      </c>
      <c r="C21" s="302"/>
      <c r="D21" s="302"/>
      <c r="E21" s="302"/>
      <c r="F21" s="302"/>
      <c r="G21" s="302"/>
      <c r="H21" s="302"/>
      <c r="I21" s="100"/>
    </row>
    <row r="22" spans="1:14" ht="26.25" customHeight="1" x14ac:dyDescent="0.4">
      <c r="A22" s="98" t="s">
        <v>37</v>
      </c>
      <c r="B22" s="101">
        <v>42531</v>
      </c>
      <c r="C22" s="255"/>
      <c r="D22" s="255"/>
      <c r="E22" s="255"/>
      <c r="F22" s="255"/>
      <c r="G22" s="255"/>
      <c r="H22" s="255"/>
    </row>
    <row r="23" spans="1:14" ht="26.25" customHeight="1" x14ac:dyDescent="0.4">
      <c r="A23" s="98" t="s">
        <v>38</v>
      </c>
      <c r="B23" s="101">
        <v>42532</v>
      </c>
      <c r="C23" s="255"/>
      <c r="D23" s="255"/>
      <c r="E23" s="255"/>
      <c r="F23" s="255"/>
      <c r="G23" s="255"/>
      <c r="H23" s="255"/>
    </row>
    <row r="24" spans="1:14" ht="18.75" x14ac:dyDescent="0.3">
      <c r="A24" s="98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237" t="s">
        <v>4</v>
      </c>
      <c r="B26" s="301" t="s">
        <v>126</v>
      </c>
      <c r="C26" s="301"/>
    </row>
    <row r="27" spans="1:14" ht="26.25" customHeight="1" x14ac:dyDescent="0.4">
      <c r="A27" s="195" t="s">
        <v>48</v>
      </c>
      <c r="B27" s="303" t="s">
        <v>129</v>
      </c>
      <c r="C27" s="303"/>
    </row>
    <row r="28" spans="1:14" ht="27" customHeight="1" thickBot="1" x14ac:dyDescent="0.45">
      <c r="A28" s="195" t="s">
        <v>6</v>
      </c>
      <c r="B28" s="190">
        <v>99.6</v>
      </c>
    </row>
    <row r="29" spans="1:14" s="16" customFormat="1" ht="27" customHeight="1" thickBot="1" x14ac:dyDescent="0.45">
      <c r="A29" s="195" t="s">
        <v>49</v>
      </c>
      <c r="B29" s="104">
        <v>0</v>
      </c>
      <c r="C29" s="284" t="s">
        <v>50</v>
      </c>
      <c r="D29" s="285"/>
      <c r="E29" s="285"/>
      <c r="F29" s="285"/>
      <c r="G29" s="286"/>
      <c r="I29" s="105"/>
      <c r="J29" s="105"/>
      <c r="K29" s="105"/>
      <c r="L29" s="105"/>
    </row>
    <row r="30" spans="1:14" s="16" customFormat="1" ht="19.5" customHeight="1" thickBot="1" x14ac:dyDescent="0.35">
      <c r="A30" s="195" t="s">
        <v>51</v>
      </c>
      <c r="B30" s="260">
        <f>B28-B29</f>
        <v>99.6</v>
      </c>
      <c r="C30" s="106"/>
      <c r="D30" s="106"/>
      <c r="E30" s="106"/>
      <c r="F30" s="106"/>
      <c r="G30" s="107"/>
      <c r="I30" s="105"/>
      <c r="J30" s="105"/>
      <c r="K30" s="105"/>
      <c r="L30" s="105"/>
    </row>
    <row r="31" spans="1:14" s="16" customFormat="1" ht="27" customHeight="1" thickBot="1" x14ac:dyDescent="0.45">
      <c r="A31" s="195" t="s">
        <v>52</v>
      </c>
      <c r="B31" s="108">
        <v>1</v>
      </c>
      <c r="C31" s="287" t="s">
        <v>53</v>
      </c>
      <c r="D31" s="288"/>
      <c r="E31" s="288"/>
      <c r="F31" s="288"/>
      <c r="G31" s="288"/>
      <c r="H31" s="289"/>
      <c r="I31" s="105"/>
      <c r="J31" s="105"/>
      <c r="K31" s="105"/>
      <c r="L31" s="105"/>
    </row>
    <row r="32" spans="1:14" s="16" customFormat="1" ht="27" customHeight="1" thickBot="1" x14ac:dyDescent="0.45">
      <c r="A32" s="195" t="s">
        <v>54</v>
      </c>
      <c r="B32" s="108">
        <v>1</v>
      </c>
      <c r="C32" s="287" t="s">
        <v>55</v>
      </c>
      <c r="D32" s="288"/>
      <c r="E32" s="288"/>
      <c r="F32" s="288"/>
      <c r="G32" s="288"/>
      <c r="H32" s="289"/>
      <c r="I32" s="105"/>
      <c r="J32" s="105"/>
      <c r="K32" s="105"/>
      <c r="L32" s="109"/>
      <c r="M32" s="109"/>
      <c r="N32" s="110"/>
    </row>
    <row r="33" spans="1:14" s="16" customFormat="1" ht="17.25" customHeight="1" x14ac:dyDescent="0.3">
      <c r="A33" s="195"/>
      <c r="B33" s="111"/>
      <c r="C33" s="112"/>
      <c r="D33" s="112"/>
      <c r="E33" s="112"/>
      <c r="F33" s="112"/>
      <c r="G33" s="112"/>
      <c r="H33" s="112"/>
      <c r="I33" s="105"/>
      <c r="J33" s="105"/>
      <c r="K33" s="105"/>
      <c r="L33" s="109"/>
      <c r="M33" s="109"/>
      <c r="N33" s="110"/>
    </row>
    <row r="34" spans="1:14" s="16" customFormat="1" ht="18.75" x14ac:dyDescent="0.3">
      <c r="A34" s="195" t="s">
        <v>56</v>
      </c>
      <c r="B34" s="113">
        <f>B31/B32</f>
        <v>1</v>
      </c>
      <c r="C34" s="188" t="s">
        <v>57</v>
      </c>
      <c r="D34" s="188"/>
      <c r="E34" s="188"/>
      <c r="F34" s="188"/>
      <c r="G34" s="188"/>
      <c r="I34" s="105"/>
      <c r="J34" s="105"/>
      <c r="K34" s="105"/>
      <c r="L34" s="109"/>
      <c r="M34" s="109"/>
      <c r="N34" s="110"/>
    </row>
    <row r="35" spans="1:14" s="16" customFormat="1" ht="19.5" customHeight="1" thickBot="1" x14ac:dyDescent="0.35">
      <c r="A35" s="195"/>
      <c r="B35" s="260"/>
      <c r="G35" s="188"/>
      <c r="I35" s="105"/>
      <c r="J35" s="105"/>
      <c r="K35" s="105"/>
      <c r="L35" s="109"/>
      <c r="M35" s="109"/>
      <c r="N35" s="110"/>
    </row>
    <row r="36" spans="1:14" s="16" customFormat="1" ht="27" customHeight="1" thickBot="1" x14ac:dyDescent="0.45">
      <c r="A36" s="114" t="s">
        <v>58</v>
      </c>
      <c r="B36" s="115">
        <v>100</v>
      </c>
      <c r="C36" s="188"/>
      <c r="D36" s="274" t="s">
        <v>59</v>
      </c>
      <c r="E36" s="294"/>
      <c r="F36" s="274" t="s">
        <v>60</v>
      </c>
      <c r="G36" s="275"/>
      <c r="J36" s="105"/>
      <c r="K36" s="105"/>
      <c r="L36" s="109"/>
      <c r="M36" s="109"/>
      <c r="N36" s="110"/>
    </row>
    <row r="37" spans="1:14" s="16" customFormat="1" ht="27" customHeight="1" thickBot="1" x14ac:dyDescent="0.45">
      <c r="A37" s="116" t="s">
        <v>61</v>
      </c>
      <c r="B37" s="117">
        <v>1</v>
      </c>
      <c r="C37" s="118" t="s">
        <v>62</v>
      </c>
      <c r="D37" s="119" t="s">
        <v>63</v>
      </c>
      <c r="E37" s="120" t="s">
        <v>64</v>
      </c>
      <c r="F37" s="119" t="s">
        <v>63</v>
      </c>
      <c r="G37" s="121" t="s">
        <v>64</v>
      </c>
      <c r="I37" s="122" t="s">
        <v>65</v>
      </c>
      <c r="J37" s="105"/>
      <c r="K37" s="105"/>
      <c r="L37" s="109"/>
      <c r="M37" s="109"/>
      <c r="N37" s="110"/>
    </row>
    <row r="38" spans="1:14" s="16" customFormat="1" ht="26.25" customHeight="1" x14ac:dyDescent="0.4">
      <c r="A38" s="116" t="s">
        <v>66</v>
      </c>
      <c r="B38" s="117">
        <v>1</v>
      </c>
      <c r="C38" s="123">
        <v>1</v>
      </c>
      <c r="D38" s="124">
        <v>55486828</v>
      </c>
      <c r="E38" s="125">
        <f>IF(ISBLANK(D38),"-",$D$48/$D$45*D38)</f>
        <v>50188888.888888896</v>
      </c>
      <c r="F38" s="124">
        <v>49127867</v>
      </c>
      <c r="G38" s="126">
        <f>IF(ISBLANK(F38),"-",$D$48/$F$45*F38)</f>
        <v>50428286.436480738</v>
      </c>
      <c r="I38" s="127"/>
      <c r="J38" s="105"/>
      <c r="K38" s="105"/>
      <c r="L38" s="109"/>
      <c r="M38" s="109"/>
      <c r="N38" s="110"/>
    </row>
    <row r="39" spans="1:14" s="16" customFormat="1" ht="26.25" customHeight="1" x14ac:dyDescent="0.4">
      <c r="A39" s="116" t="s">
        <v>67</v>
      </c>
      <c r="B39" s="117">
        <v>1</v>
      </c>
      <c r="C39" s="145">
        <v>2</v>
      </c>
      <c r="D39" s="128">
        <v>55017207</v>
      </c>
      <c r="E39" s="129">
        <f>IF(ISBLANK(D39),"-",$D$48/$D$45*D39)</f>
        <v>49764107.782481283</v>
      </c>
      <c r="F39" s="128">
        <v>49043415</v>
      </c>
      <c r="G39" s="130">
        <f>IF(ISBLANK(F39),"-",$D$48/$F$45*F39)</f>
        <v>50341598.9837946</v>
      </c>
      <c r="I39" s="265">
        <f>ABS((F43/D43*D42)-F42)/D42</f>
        <v>7.87171238077106E-3</v>
      </c>
      <c r="J39" s="105"/>
      <c r="K39" s="105"/>
      <c r="L39" s="109"/>
      <c r="M39" s="109"/>
      <c r="N39" s="110"/>
    </row>
    <row r="40" spans="1:14" ht="26.25" customHeight="1" x14ac:dyDescent="0.4">
      <c r="A40" s="116" t="s">
        <v>68</v>
      </c>
      <c r="B40" s="117">
        <v>1</v>
      </c>
      <c r="C40" s="145">
        <v>3</v>
      </c>
      <c r="D40" s="128">
        <v>54969938</v>
      </c>
      <c r="E40" s="129">
        <f>IF(ISBLANK(D40),"-",$D$48/$D$45*D40)</f>
        <v>49721352.074966535</v>
      </c>
      <c r="F40" s="128">
        <v>48945903</v>
      </c>
      <c r="G40" s="130">
        <f>IF(ISBLANK(F40),"-",$D$48/$F$45*F40)</f>
        <v>50241505.83163324</v>
      </c>
      <c r="I40" s="265"/>
      <c r="L40" s="109"/>
      <c r="M40" s="109"/>
      <c r="N40" s="188"/>
    </row>
    <row r="41" spans="1:14" ht="27" customHeight="1" thickBot="1" x14ac:dyDescent="0.45">
      <c r="A41" s="116" t="s">
        <v>69</v>
      </c>
      <c r="B41" s="117">
        <v>1</v>
      </c>
      <c r="C41" s="131">
        <v>4</v>
      </c>
      <c r="D41" s="132"/>
      <c r="E41" s="133" t="str">
        <f>IF(ISBLANK(D41),"-",$D$48/$D$45*D41)</f>
        <v>-</v>
      </c>
      <c r="F41" s="132"/>
      <c r="G41" s="134" t="str">
        <f>IF(ISBLANK(F41),"-",$D$48/$F$45*F41)</f>
        <v>-</v>
      </c>
      <c r="I41" s="135"/>
      <c r="L41" s="109"/>
      <c r="M41" s="109"/>
      <c r="N41" s="188"/>
    </row>
    <row r="42" spans="1:14" ht="27" customHeight="1" thickBot="1" x14ac:dyDescent="0.45">
      <c r="A42" s="116" t="s">
        <v>70</v>
      </c>
      <c r="B42" s="117">
        <v>1</v>
      </c>
      <c r="C42" s="136" t="s">
        <v>71</v>
      </c>
      <c r="D42" s="137">
        <f>AVERAGE(D38:D41)</f>
        <v>55157991</v>
      </c>
      <c r="E42" s="138">
        <f>AVERAGE(E38:E41)</f>
        <v>49891449.58211223</v>
      </c>
      <c r="F42" s="137">
        <f>AVERAGE(F38:F41)</f>
        <v>49039061.666666664</v>
      </c>
      <c r="G42" s="139">
        <f>AVERAGE(G38:G41)</f>
        <v>50337130.417302854</v>
      </c>
      <c r="H42" s="140"/>
    </row>
    <row r="43" spans="1:14" ht="26.25" customHeight="1" x14ac:dyDescent="0.4">
      <c r="A43" s="116" t="s">
        <v>72</v>
      </c>
      <c r="B43" s="117">
        <v>1</v>
      </c>
      <c r="C43" s="141" t="s">
        <v>73</v>
      </c>
      <c r="D43" s="142">
        <v>17.760000000000002</v>
      </c>
      <c r="E43" s="188"/>
      <c r="F43" s="142">
        <v>15.65</v>
      </c>
      <c r="H43" s="140"/>
    </row>
    <row r="44" spans="1:14" ht="26.25" customHeight="1" x14ac:dyDescent="0.4">
      <c r="A44" s="116" t="s">
        <v>74</v>
      </c>
      <c r="B44" s="117">
        <v>1</v>
      </c>
      <c r="C44" s="143" t="s">
        <v>75</v>
      </c>
      <c r="D44" s="144">
        <f>D43*$B$34</f>
        <v>17.760000000000002</v>
      </c>
      <c r="E44" s="203"/>
      <c r="F44" s="144">
        <f>F43*$B$34</f>
        <v>15.65</v>
      </c>
      <c r="H44" s="140"/>
    </row>
    <row r="45" spans="1:14" ht="19.5" customHeight="1" thickBot="1" x14ac:dyDescent="0.35">
      <c r="A45" s="116" t="s">
        <v>76</v>
      </c>
      <c r="B45" s="145">
        <f>(B44/B43)*(B42/B41)*(B40/B39)*(B38/B37)*B36</f>
        <v>100</v>
      </c>
      <c r="C45" s="143" t="s">
        <v>77</v>
      </c>
      <c r="D45" s="146">
        <f>D44*$B$30/100</f>
        <v>17.688959999999998</v>
      </c>
      <c r="E45" s="185"/>
      <c r="F45" s="146">
        <f>F44*$B$30/100</f>
        <v>15.587400000000001</v>
      </c>
      <c r="H45" s="140"/>
    </row>
    <row r="46" spans="1:14" ht="19.5" customHeight="1" thickBot="1" x14ac:dyDescent="0.35">
      <c r="A46" s="266" t="s">
        <v>78</v>
      </c>
      <c r="B46" s="270"/>
      <c r="C46" s="143" t="s">
        <v>79</v>
      </c>
      <c r="D46" s="147">
        <f>D45/$B$45</f>
        <v>0.17688959999999998</v>
      </c>
      <c r="E46" s="148"/>
      <c r="F46" s="149">
        <f>F45/$B$45</f>
        <v>0.15587400000000001</v>
      </c>
      <c r="H46" s="140"/>
    </row>
    <row r="47" spans="1:14" ht="27" customHeight="1" thickBot="1" x14ac:dyDescent="0.45">
      <c r="A47" s="268"/>
      <c r="B47" s="271"/>
      <c r="C47" s="150" t="s">
        <v>80</v>
      </c>
      <c r="D47" s="151">
        <v>0.16</v>
      </c>
      <c r="E47" s="152"/>
      <c r="F47" s="148"/>
      <c r="H47" s="140"/>
    </row>
    <row r="48" spans="1:14" ht="18.75" x14ac:dyDescent="0.3">
      <c r="C48" s="153" t="s">
        <v>81</v>
      </c>
      <c r="D48" s="146">
        <f>D47*$B$45</f>
        <v>16</v>
      </c>
      <c r="F48" s="154"/>
      <c r="H48" s="140"/>
    </row>
    <row r="49" spans="1:12" ht="19.5" customHeight="1" thickBot="1" x14ac:dyDescent="0.35">
      <c r="C49" s="155" t="s">
        <v>82</v>
      </c>
      <c r="D49" s="156">
        <f>D48/B34</f>
        <v>16</v>
      </c>
      <c r="F49" s="154"/>
      <c r="H49" s="140"/>
    </row>
    <row r="50" spans="1:12" ht="18.75" x14ac:dyDescent="0.3">
      <c r="C50" s="114" t="s">
        <v>83</v>
      </c>
      <c r="D50" s="157">
        <f>AVERAGE(E38:E41,G38:G41)</f>
        <v>50114289.999707542</v>
      </c>
      <c r="F50" s="158"/>
      <c r="H50" s="140"/>
    </row>
    <row r="51" spans="1:12" ht="18.75" x14ac:dyDescent="0.3">
      <c r="C51" s="116" t="s">
        <v>84</v>
      </c>
      <c r="D51" s="159">
        <f>STDEV(E38:E41,G38:G41)/D50</f>
        <v>5.9799263105393278E-3</v>
      </c>
      <c r="F51" s="158"/>
      <c r="H51" s="140"/>
    </row>
    <row r="52" spans="1:12" ht="19.5" customHeight="1" thickBot="1" x14ac:dyDescent="0.35">
      <c r="C52" s="160" t="s">
        <v>20</v>
      </c>
      <c r="D52" s="161">
        <f>COUNT(E38:E41,G38:G41)</f>
        <v>6</v>
      </c>
      <c r="F52" s="158"/>
    </row>
    <row r="54" spans="1:12" ht="18.75" x14ac:dyDescent="0.3">
      <c r="A54" s="162" t="s">
        <v>1</v>
      </c>
      <c r="B54" s="163" t="s">
        <v>85</v>
      </c>
    </row>
    <row r="55" spans="1:12" ht="18.75" x14ac:dyDescent="0.3">
      <c r="A55" s="188" t="s">
        <v>86</v>
      </c>
      <c r="B55" s="164" t="str">
        <f>B21</f>
        <v>Each Tablet contains: Rifampicin 150mg, Isoniazid 75mg</v>
      </c>
    </row>
    <row r="56" spans="1:12" ht="26.25" customHeight="1" x14ac:dyDescent="0.4">
      <c r="A56" s="164" t="s">
        <v>87</v>
      </c>
      <c r="B56" s="165">
        <v>150</v>
      </c>
      <c r="C56" s="188" t="str">
        <f>B20</f>
        <v>Rifampicin</v>
      </c>
      <c r="H56" s="203"/>
    </row>
    <row r="57" spans="1:12" ht="18.75" x14ac:dyDescent="0.3">
      <c r="A57" s="164" t="s">
        <v>88</v>
      </c>
      <c r="B57" s="243">
        <f>Uniformity!C46</f>
        <v>304.60299999999995</v>
      </c>
      <c r="H57" s="203"/>
    </row>
    <row r="58" spans="1:12" ht="19.5" customHeight="1" thickBot="1" x14ac:dyDescent="0.35">
      <c r="H58" s="203"/>
    </row>
    <row r="59" spans="1:12" s="16" customFormat="1" ht="27" customHeight="1" thickBot="1" x14ac:dyDescent="0.45">
      <c r="A59" s="114" t="s">
        <v>89</v>
      </c>
      <c r="B59" s="115">
        <v>100</v>
      </c>
      <c r="C59" s="188"/>
      <c r="D59" s="166" t="s">
        <v>90</v>
      </c>
      <c r="E59" s="167" t="s">
        <v>62</v>
      </c>
      <c r="F59" s="167" t="s">
        <v>63</v>
      </c>
      <c r="G59" s="167" t="s">
        <v>91</v>
      </c>
      <c r="H59" s="118" t="s">
        <v>92</v>
      </c>
      <c r="L59" s="105"/>
    </row>
    <row r="60" spans="1:12" s="16" customFormat="1" ht="26.25" customHeight="1" x14ac:dyDescent="0.4">
      <c r="A60" s="116" t="s">
        <v>93</v>
      </c>
      <c r="B60" s="117">
        <v>1</v>
      </c>
      <c r="C60" s="276" t="s">
        <v>94</v>
      </c>
      <c r="D60" s="279">
        <v>30.21</v>
      </c>
      <c r="E60" s="168">
        <v>1</v>
      </c>
      <c r="F60" s="169">
        <v>43905164</v>
      </c>
      <c r="G60" s="244">
        <f>IF(ISBLANK(F60),"-",(F60/$D$50*$D$47*$B$68)*($B$57/$D$60))</f>
        <v>141.33751641799438</v>
      </c>
      <c r="H60" s="170">
        <f t="shared" ref="H60:H71" si="0">IF(ISBLANK(F60),"-",G60/$B$56)</f>
        <v>0.9422501094532959</v>
      </c>
      <c r="L60" s="105"/>
    </row>
    <row r="61" spans="1:12" s="16" customFormat="1" ht="26.25" customHeight="1" x14ac:dyDescent="0.4">
      <c r="A61" s="116" t="s">
        <v>95</v>
      </c>
      <c r="B61" s="117">
        <v>1</v>
      </c>
      <c r="C61" s="277"/>
      <c r="D61" s="280"/>
      <c r="E61" s="171">
        <v>2</v>
      </c>
      <c r="F61" s="128">
        <v>43828128</v>
      </c>
      <c r="G61" s="245">
        <f>IF(ISBLANK(F61),"-",(F61/$D$50*$D$47*$B$68)*($B$57/$D$60))</f>
        <v>141.08952561411593</v>
      </c>
      <c r="H61" s="172">
        <f t="shared" si="0"/>
        <v>0.94059683742743949</v>
      </c>
      <c r="L61" s="105"/>
    </row>
    <row r="62" spans="1:12" s="16" customFormat="1" ht="26.25" customHeight="1" x14ac:dyDescent="0.4">
      <c r="A62" s="116" t="s">
        <v>96</v>
      </c>
      <c r="B62" s="117">
        <v>1</v>
      </c>
      <c r="C62" s="277"/>
      <c r="D62" s="280"/>
      <c r="E62" s="171">
        <v>3</v>
      </c>
      <c r="F62" s="173">
        <v>43789057</v>
      </c>
      <c r="G62" s="245">
        <f>IF(ISBLANK(F62),"-",(F62/$D$50*$D$47*$B$68)*($B$57/$D$60))</f>
        <v>140.9637500196103</v>
      </c>
      <c r="H62" s="172">
        <f t="shared" si="0"/>
        <v>0.93975833346406867</v>
      </c>
      <c r="L62" s="105"/>
    </row>
    <row r="63" spans="1:12" ht="27" customHeight="1" thickBot="1" x14ac:dyDescent="0.45">
      <c r="A63" s="116" t="s">
        <v>97</v>
      </c>
      <c r="B63" s="117">
        <v>1</v>
      </c>
      <c r="C63" s="278"/>
      <c r="D63" s="281"/>
      <c r="E63" s="174">
        <v>4</v>
      </c>
      <c r="F63" s="175"/>
      <c r="G63" s="245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116" t="s">
        <v>98</v>
      </c>
      <c r="B64" s="117">
        <v>1</v>
      </c>
      <c r="C64" s="276" t="s">
        <v>99</v>
      </c>
      <c r="D64" s="279">
        <v>29.13</v>
      </c>
      <c r="E64" s="168">
        <v>1</v>
      </c>
      <c r="F64" s="169">
        <v>41736262</v>
      </c>
      <c r="G64" s="246">
        <f>IF(ISBLANK(F64),"-",(F64/$D$50*$D$47*$B$68)*($B$57/$D$64))</f>
        <v>139.33673911431953</v>
      </c>
      <c r="H64" s="176">
        <f t="shared" si="0"/>
        <v>0.92891159409546353</v>
      </c>
    </row>
    <row r="65" spans="1:8" ht="26.25" customHeight="1" x14ac:dyDescent="0.4">
      <c r="A65" s="116" t="s">
        <v>100</v>
      </c>
      <c r="B65" s="117">
        <v>1</v>
      </c>
      <c r="C65" s="277"/>
      <c r="D65" s="280"/>
      <c r="E65" s="171">
        <v>2</v>
      </c>
      <c r="F65" s="128">
        <v>41782718</v>
      </c>
      <c r="G65" s="247">
        <f>IF(ISBLANK(F65),"-",(F65/$D$50*$D$47*$B$68)*($B$57/$D$64))</f>
        <v>139.49183272457853</v>
      </c>
      <c r="H65" s="177">
        <f t="shared" si="0"/>
        <v>0.92994555149719016</v>
      </c>
    </row>
    <row r="66" spans="1:8" ht="26.25" customHeight="1" x14ac:dyDescent="0.4">
      <c r="A66" s="116" t="s">
        <v>101</v>
      </c>
      <c r="B66" s="117">
        <v>1</v>
      </c>
      <c r="C66" s="277"/>
      <c r="D66" s="280"/>
      <c r="E66" s="171">
        <v>3</v>
      </c>
      <c r="F66" s="128">
        <v>41669493</v>
      </c>
      <c r="G66" s="247">
        <f>IF(ISBLANK(F66),"-",(F66/$D$50*$D$47*$B$68)*($B$57/$D$64))</f>
        <v>139.11383044238519</v>
      </c>
      <c r="H66" s="177">
        <f t="shared" si="0"/>
        <v>0.92742553628256796</v>
      </c>
    </row>
    <row r="67" spans="1:8" ht="27" customHeight="1" thickBot="1" x14ac:dyDescent="0.45">
      <c r="A67" s="116" t="s">
        <v>102</v>
      </c>
      <c r="B67" s="117">
        <v>1</v>
      </c>
      <c r="C67" s="278"/>
      <c r="D67" s="281"/>
      <c r="E67" s="174">
        <v>4</v>
      </c>
      <c r="F67" s="175"/>
      <c r="G67" s="248" t="str">
        <f>IF(ISBLANK(F67),"-",(F67/$D$50*$D$47*$B$68)*($B$57/$D$64))</f>
        <v>-</v>
      </c>
      <c r="H67" s="178" t="str">
        <f t="shared" si="0"/>
        <v>-</v>
      </c>
    </row>
    <row r="68" spans="1:8" ht="26.25" customHeight="1" x14ac:dyDescent="0.4">
      <c r="A68" s="116" t="s">
        <v>103</v>
      </c>
      <c r="B68" s="179">
        <f>(B67/B66)*(B65/B64)*(B63/B62)*(B61/B60)*B59</f>
        <v>100</v>
      </c>
      <c r="C68" s="276" t="s">
        <v>104</v>
      </c>
      <c r="D68" s="279">
        <v>31.25</v>
      </c>
      <c r="E68" s="168">
        <v>1</v>
      </c>
      <c r="F68" s="169">
        <v>44867220</v>
      </c>
      <c r="G68" s="246">
        <f>IF(ISBLANK(F68),"-",(F68/$D$50*$D$47*$B$68)*($B$57/$D$68))</f>
        <v>139.62774259866305</v>
      </c>
      <c r="H68" s="172">
        <f t="shared" si="0"/>
        <v>0.93085161732442034</v>
      </c>
    </row>
    <row r="69" spans="1:8" ht="27" customHeight="1" thickBot="1" x14ac:dyDescent="0.45">
      <c r="A69" s="160" t="s">
        <v>105</v>
      </c>
      <c r="B69" s="180">
        <f>(D47*B68)/B56*B57</f>
        <v>32.490986666666664</v>
      </c>
      <c r="C69" s="277"/>
      <c r="D69" s="280"/>
      <c r="E69" s="171">
        <v>2</v>
      </c>
      <c r="F69" s="128">
        <v>44846492</v>
      </c>
      <c r="G69" s="247">
        <f>IF(ISBLANK(F69),"-",(F69/$D$50*$D$47*$B$68)*($B$57/$D$68))</f>
        <v>139.56323662194811</v>
      </c>
      <c r="H69" s="172">
        <f t="shared" si="0"/>
        <v>0.93042157747965404</v>
      </c>
    </row>
    <row r="70" spans="1:8" ht="26.25" customHeight="1" x14ac:dyDescent="0.4">
      <c r="A70" s="290" t="s">
        <v>78</v>
      </c>
      <c r="B70" s="291"/>
      <c r="C70" s="277"/>
      <c r="D70" s="280"/>
      <c r="E70" s="171">
        <v>3</v>
      </c>
      <c r="F70" s="128">
        <v>44824222</v>
      </c>
      <c r="G70" s="247">
        <f>IF(ISBLANK(F70),"-",(F70/$D$50*$D$47*$B$68)*($B$57/$D$68))</f>
        <v>139.49393190844742</v>
      </c>
      <c r="H70" s="172">
        <f t="shared" si="0"/>
        <v>0.92995954605631614</v>
      </c>
    </row>
    <row r="71" spans="1:8" ht="27" customHeight="1" thickBot="1" x14ac:dyDescent="0.45">
      <c r="A71" s="292"/>
      <c r="B71" s="293"/>
      <c r="C71" s="282"/>
      <c r="D71" s="281"/>
      <c r="E71" s="174">
        <v>4</v>
      </c>
      <c r="F71" s="175"/>
      <c r="G71" s="248" t="str">
        <f>IF(ISBLANK(F71),"-",(F71/$D$50*$D$47*$B$68)*($B$57/$D$68))</f>
        <v>-</v>
      </c>
      <c r="H71" s="181" t="str">
        <f t="shared" si="0"/>
        <v>-</v>
      </c>
    </row>
    <row r="72" spans="1:8" ht="26.25" customHeight="1" x14ac:dyDescent="0.4">
      <c r="A72" s="203"/>
      <c r="B72" s="203"/>
      <c r="C72" s="203"/>
      <c r="D72" s="203"/>
      <c r="E72" s="203"/>
      <c r="F72" s="182" t="s">
        <v>71</v>
      </c>
      <c r="G72" s="253">
        <f>AVERAGE(G60:G71)</f>
        <v>140.00201171800691</v>
      </c>
      <c r="H72" s="183">
        <f>AVERAGE(H60:H71)</f>
        <v>0.93334674478671298</v>
      </c>
    </row>
    <row r="73" spans="1:8" ht="26.25" customHeight="1" x14ac:dyDescent="0.4">
      <c r="C73" s="203"/>
      <c r="D73" s="203"/>
      <c r="E73" s="203"/>
      <c r="F73" s="184" t="s">
        <v>84</v>
      </c>
      <c r="G73" s="249">
        <f>STDEV(G60:G71)/G72</f>
        <v>6.172225497373382E-3</v>
      </c>
      <c r="H73" s="249">
        <f>STDEV(H60:H71)/H72</f>
        <v>6.1722254973733837E-3</v>
      </c>
    </row>
    <row r="74" spans="1:8" ht="27" customHeight="1" thickBot="1" x14ac:dyDescent="0.45">
      <c r="A74" s="203"/>
      <c r="B74" s="203"/>
      <c r="C74" s="203"/>
      <c r="D74" s="203"/>
      <c r="E74" s="185"/>
      <c r="F74" s="186" t="s">
        <v>20</v>
      </c>
      <c r="G74" s="187">
        <f>COUNT(G60:G71)</f>
        <v>9</v>
      </c>
      <c r="H74" s="187">
        <f>COUNT(H60:H71)</f>
        <v>9</v>
      </c>
    </row>
    <row r="76" spans="1:8" ht="26.25" customHeight="1" x14ac:dyDescent="0.4">
      <c r="A76" s="237" t="s">
        <v>106</v>
      </c>
      <c r="B76" s="195" t="s">
        <v>107</v>
      </c>
      <c r="C76" s="272" t="str">
        <f>B20</f>
        <v>Rifampicin</v>
      </c>
      <c r="D76" s="272"/>
      <c r="E76" s="188" t="s">
        <v>108</v>
      </c>
      <c r="F76" s="188"/>
      <c r="G76" s="189">
        <f>H72</f>
        <v>0.93334674478671298</v>
      </c>
      <c r="H76" s="260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237" t="s">
        <v>4</v>
      </c>
      <c r="B79" s="283" t="str">
        <f>B26</f>
        <v>Rifampicin</v>
      </c>
      <c r="C79" s="283"/>
    </row>
    <row r="80" spans="1:8" ht="26.25" customHeight="1" x14ac:dyDescent="0.4">
      <c r="A80" s="195" t="s">
        <v>48</v>
      </c>
      <c r="B80" s="283" t="str">
        <f>B27</f>
        <v>R5-1</v>
      </c>
      <c r="C80" s="283"/>
    </row>
    <row r="81" spans="1:12" ht="27" customHeight="1" thickBot="1" x14ac:dyDescent="0.45">
      <c r="A81" s="195" t="s">
        <v>6</v>
      </c>
      <c r="B81" s="190">
        <f>B28</f>
        <v>99.6</v>
      </c>
    </row>
    <row r="82" spans="1:12" s="16" customFormat="1" ht="27" customHeight="1" thickBot="1" x14ac:dyDescent="0.45">
      <c r="A82" s="195" t="s">
        <v>49</v>
      </c>
      <c r="B82" s="104">
        <v>0</v>
      </c>
      <c r="C82" s="284" t="s">
        <v>50</v>
      </c>
      <c r="D82" s="285"/>
      <c r="E82" s="285"/>
      <c r="F82" s="285"/>
      <c r="G82" s="286"/>
      <c r="I82" s="105"/>
      <c r="J82" s="105"/>
      <c r="K82" s="105"/>
      <c r="L82" s="105"/>
    </row>
    <row r="83" spans="1:12" s="16" customFormat="1" ht="19.5" customHeight="1" thickBot="1" x14ac:dyDescent="0.35">
      <c r="A83" s="195" t="s">
        <v>51</v>
      </c>
      <c r="B83" s="260">
        <f>B81-B82</f>
        <v>99.6</v>
      </c>
      <c r="C83" s="106"/>
      <c r="D83" s="106"/>
      <c r="E83" s="106"/>
      <c r="F83" s="106"/>
      <c r="G83" s="107"/>
      <c r="I83" s="105"/>
      <c r="J83" s="105"/>
      <c r="K83" s="105"/>
      <c r="L83" s="105"/>
    </row>
    <row r="84" spans="1:12" s="16" customFormat="1" ht="27" customHeight="1" thickBot="1" x14ac:dyDescent="0.45">
      <c r="A84" s="195" t="s">
        <v>52</v>
      </c>
      <c r="B84" s="108">
        <v>1</v>
      </c>
      <c r="C84" s="287" t="s">
        <v>111</v>
      </c>
      <c r="D84" s="288"/>
      <c r="E84" s="288"/>
      <c r="F84" s="288"/>
      <c r="G84" s="288"/>
      <c r="H84" s="289"/>
      <c r="I84" s="105"/>
      <c r="J84" s="105"/>
      <c r="K84" s="105"/>
      <c r="L84" s="105"/>
    </row>
    <row r="85" spans="1:12" s="16" customFormat="1" ht="27" customHeight="1" thickBot="1" x14ac:dyDescent="0.45">
      <c r="A85" s="195" t="s">
        <v>54</v>
      </c>
      <c r="B85" s="108">
        <v>1</v>
      </c>
      <c r="C85" s="287" t="s">
        <v>112</v>
      </c>
      <c r="D85" s="288"/>
      <c r="E85" s="288"/>
      <c r="F85" s="288"/>
      <c r="G85" s="288"/>
      <c r="H85" s="289"/>
      <c r="I85" s="105"/>
      <c r="J85" s="105"/>
      <c r="K85" s="105"/>
      <c r="L85" s="105"/>
    </row>
    <row r="86" spans="1:12" s="16" customFormat="1" ht="18.75" x14ac:dyDescent="0.3">
      <c r="A86" s="195"/>
      <c r="B86" s="111"/>
      <c r="C86" s="112"/>
      <c r="D86" s="112"/>
      <c r="E86" s="112"/>
      <c r="F86" s="112"/>
      <c r="G86" s="112"/>
      <c r="H86" s="112"/>
      <c r="I86" s="105"/>
      <c r="J86" s="105"/>
      <c r="K86" s="105"/>
      <c r="L86" s="105"/>
    </row>
    <row r="87" spans="1:12" s="16" customFormat="1" ht="18.75" x14ac:dyDescent="0.3">
      <c r="A87" s="195" t="s">
        <v>56</v>
      </c>
      <c r="B87" s="113">
        <f>B84/B85</f>
        <v>1</v>
      </c>
      <c r="C87" s="188" t="s">
        <v>57</v>
      </c>
      <c r="D87" s="188"/>
      <c r="E87" s="188"/>
      <c r="F87" s="188"/>
      <c r="G87" s="188"/>
      <c r="I87" s="105"/>
      <c r="J87" s="105"/>
      <c r="K87" s="105"/>
      <c r="L87" s="105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4" t="s">
        <v>58</v>
      </c>
      <c r="B89" s="115">
        <v>100</v>
      </c>
      <c r="D89" s="258" t="s">
        <v>59</v>
      </c>
      <c r="E89" s="259"/>
      <c r="F89" s="274" t="s">
        <v>60</v>
      </c>
      <c r="G89" s="275"/>
    </row>
    <row r="90" spans="1:12" ht="27" customHeight="1" thickBot="1" x14ac:dyDescent="0.45">
      <c r="A90" s="116" t="s">
        <v>61</v>
      </c>
      <c r="B90" s="117">
        <v>1</v>
      </c>
      <c r="C90" s="261" t="s">
        <v>62</v>
      </c>
      <c r="D90" s="119" t="s">
        <v>63</v>
      </c>
      <c r="E90" s="120" t="s">
        <v>64</v>
      </c>
      <c r="F90" s="119" t="s">
        <v>63</v>
      </c>
      <c r="G90" s="191" t="s">
        <v>64</v>
      </c>
      <c r="I90" s="122" t="s">
        <v>65</v>
      </c>
    </row>
    <row r="91" spans="1:12" ht="26.25" customHeight="1" x14ac:dyDescent="0.4">
      <c r="A91" s="116" t="s">
        <v>66</v>
      </c>
      <c r="B91" s="117">
        <v>1</v>
      </c>
      <c r="C91" s="192">
        <v>1</v>
      </c>
      <c r="D91" s="124">
        <v>47659897</v>
      </c>
      <c r="E91" s="125">
        <f>IF(ISBLANK(D91),"-",$D$101/$D$98*D91)</f>
        <v>52711282.450798996</v>
      </c>
      <c r="F91" s="124">
        <v>43662524</v>
      </c>
      <c r="G91" s="126">
        <f>IF(ISBLANK(F91),"-",$D$101/$F$98*F91)</f>
        <v>52601242.503009394</v>
      </c>
      <c r="I91" s="127"/>
    </row>
    <row r="92" spans="1:12" ht="26.25" customHeight="1" x14ac:dyDescent="0.4">
      <c r="A92" s="116" t="s">
        <v>67</v>
      </c>
      <c r="B92" s="117">
        <v>1</v>
      </c>
      <c r="C92" s="203">
        <v>2</v>
      </c>
      <c r="D92" s="128">
        <v>47518641</v>
      </c>
      <c r="E92" s="129">
        <f>IF(ISBLANK(D92),"-",$D$101/$D$98*D92)</f>
        <v>52555054.985308044</v>
      </c>
      <c r="F92" s="128">
        <v>43486648</v>
      </c>
      <c r="G92" s="130">
        <f>IF(ISBLANK(F92),"-",$D$101/$F$98*F92)</f>
        <v>52389360.658376247</v>
      </c>
      <c r="I92" s="265">
        <f>ABS((F96/D96*D95)-F95)/D95</f>
        <v>2.29880322503329E-3</v>
      </c>
    </row>
    <row r="93" spans="1:12" ht="26.25" customHeight="1" x14ac:dyDescent="0.4">
      <c r="A93" s="116" t="s">
        <v>68</v>
      </c>
      <c r="B93" s="117">
        <v>1</v>
      </c>
      <c r="C93" s="203">
        <v>3</v>
      </c>
      <c r="D93" s="128">
        <v>47598533</v>
      </c>
      <c r="E93" s="129">
        <f>IF(ISBLANK(D93),"-",$D$101/$D$98*D93)</f>
        <v>52643414.592496432</v>
      </c>
      <c r="F93" s="128">
        <v>43598191</v>
      </c>
      <c r="G93" s="130">
        <f>IF(ISBLANK(F93),"-",$D$101/$F$98*F93)</f>
        <v>52523739.064730242</v>
      </c>
      <c r="I93" s="265"/>
    </row>
    <row r="94" spans="1:12" ht="27" customHeight="1" thickBot="1" x14ac:dyDescent="0.45">
      <c r="A94" s="116" t="s">
        <v>69</v>
      </c>
      <c r="B94" s="117">
        <v>1</v>
      </c>
      <c r="C94" s="193">
        <v>4</v>
      </c>
      <c r="D94" s="132"/>
      <c r="E94" s="133" t="str">
        <f>IF(ISBLANK(D94),"-",$D$101/$D$98*D94)</f>
        <v>-</v>
      </c>
      <c r="F94" s="194"/>
      <c r="G94" s="134" t="str">
        <f>IF(ISBLANK(F94),"-",$D$101/$F$98*F94)</f>
        <v>-</v>
      </c>
      <c r="I94" s="135"/>
    </row>
    <row r="95" spans="1:12" ht="27" customHeight="1" thickBot="1" x14ac:dyDescent="0.45">
      <c r="A95" s="116" t="s">
        <v>70</v>
      </c>
      <c r="B95" s="117">
        <v>1</v>
      </c>
      <c r="C95" s="195" t="s">
        <v>71</v>
      </c>
      <c r="D95" s="196">
        <f>AVERAGE(D91:D94)</f>
        <v>47592357</v>
      </c>
      <c r="E95" s="138">
        <f>AVERAGE(E91:E94)</f>
        <v>52636584.009534486</v>
      </c>
      <c r="F95" s="197">
        <f>AVERAGE(F91:F94)</f>
        <v>43582454.333333336</v>
      </c>
      <c r="G95" s="198">
        <f>AVERAGE(G91:G94)</f>
        <v>52504780.74203863</v>
      </c>
    </row>
    <row r="96" spans="1:12" ht="26.25" customHeight="1" x14ac:dyDescent="0.4">
      <c r="A96" s="116" t="s">
        <v>72</v>
      </c>
      <c r="B96" s="190">
        <v>1</v>
      </c>
      <c r="C96" s="199" t="s">
        <v>113</v>
      </c>
      <c r="D96" s="200">
        <v>15.13</v>
      </c>
      <c r="E96" s="188"/>
      <c r="F96" s="142">
        <v>13.89</v>
      </c>
    </row>
    <row r="97" spans="1:10" ht="26.25" customHeight="1" x14ac:dyDescent="0.4">
      <c r="A97" s="116" t="s">
        <v>74</v>
      </c>
      <c r="B97" s="190">
        <v>1</v>
      </c>
      <c r="C97" s="201" t="s">
        <v>114</v>
      </c>
      <c r="D97" s="202">
        <f>D96*$B$87</f>
        <v>15.13</v>
      </c>
      <c r="E97" s="203"/>
      <c r="F97" s="144">
        <f>F96*$B$87</f>
        <v>13.89</v>
      </c>
    </row>
    <row r="98" spans="1:10" ht="19.5" customHeight="1" thickBot="1" x14ac:dyDescent="0.35">
      <c r="A98" s="116" t="s">
        <v>76</v>
      </c>
      <c r="B98" s="203">
        <f>(B97/B96)*(B95/B94)*(B93/B92)*(B91/B90)*B89</f>
        <v>100</v>
      </c>
      <c r="C98" s="201" t="s">
        <v>115</v>
      </c>
      <c r="D98" s="204">
        <f>D97*$B$83/100</f>
        <v>15.06948</v>
      </c>
      <c r="E98" s="185"/>
      <c r="F98" s="146">
        <f>F97*$B$83/100</f>
        <v>13.834439999999999</v>
      </c>
    </row>
    <row r="99" spans="1:10" ht="19.5" customHeight="1" thickBot="1" x14ac:dyDescent="0.35">
      <c r="A99" s="266" t="s">
        <v>78</v>
      </c>
      <c r="B99" s="267"/>
      <c r="C99" s="201" t="s">
        <v>116</v>
      </c>
      <c r="D99" s="205">
        <f>D98/$B$98</f>
        <v>0.15069480000000002</v>
      </c>
      <c r="E99" s="185"/>
      <c r="F99" s="149">
        <f>F98/$B$98</f>
        <v>0.13834439999999998</v>
      </c>
      <c r="H99" s="140"/>
    </row>
    <row r="100" spans="1:10" ht="19.5" customHeight="1" thickBot="1" x14ac:dyDescent="0.35">
      <c r="A100" s="268"/>
      <c r="B100" s="269"/>
      <c r="C100" s="201" t="s">
        <v>80</v>
      </c>
      <c r="D100" s="207">
        <f>$B$56/$B$116</f>
        <v>0.16666666666666666</v>
      </c>
      <c r="F100" s="154"/>
      <c r="G100" s="213"/>
      <c r="H100" s="140"/>
    </row>
    <row r="101" spans="1:10" ht="18.75" x14ac:dyDescent="0.3">
      <c r="C101" s="201" t="s">
        <v>81</v>
      </c>
      <c r="D101" s="202">
        <f>D100*$B$98</f>
        <v>16.666666666666664</v>
      </c>
      <c r="F101" s="154"/>
      <c r="H101" s="140"/>
    </row>
    <row r="102" spans="1:10" ht="19.5" customHeight="1" thickBot="1" x14ac:dyDescent="0.35">
      <c r="C102" s="208" t="s">
        <v>82</v>
      </c>
      <c r="D102" s="209">
        <f>D101/B34</f>
        <v>16.666666666666664</v>
      </c>
      <c r="F102" s="158"/>
      <c r="H102" s="140"/>
      <c r="J102" s="210"/>
    </row>
    <row r="103" spans="1:10" ht="18.75" x14ac:dyDescent="0.3">
      <c r="C103" s="211" t="s">
        <v>117</v>
      </c>
      <c r="D103" s="212">
        <f>AVERAGE(E91:E94,G91:G94)</f>
        <v>52570682.375786565</v>
      </c>
      <c r="F103" s="158"/>
      <c r="G103" s="213"/>
      <c r="H103" s="140"/>
      <c r="J103" s="214"/>
    </row>
    <row r="104" spans="1:10" ht="18.75" x14ac:dyDescent="0.3">
      <c r="C104" s="184" t="s">
        <v>84</v>
      </c>
      <c r="D104" s="215">
        <f>STDEV(E91:E94,G91:G94)/D103</f>
        <v>2.1065143787185473E-3</v>
      </c>
      <c r="F104" s="158"/>
      <c r="H104" s="140"/>
      <c r="J104" s="214"/>
    </row>
    <row r="105" spans="1:10" ht="19.5" customHeight="1" thickBot="1" x14ac:dyDescent="0.35">
      <c r="C105" s="186" t="s">
        <v>20</v>
      </c>
      <c r="D105" s="216">
        <f>COUNT(E91:E94,G91:G94)</f>
        <v>6</v>
      </c>
      <c r="F105" s="158"/>
      <c r="H105" s="140"/>
      <c r="J105" s="214"/>
    </row>
    <row r="106" spans="1:10" ht="19.5" customHeight="1" thickBot="1" x14ac:dyDescent="0.35">
      <c r="A106" s="162"/>
      <c r="B106" s="162"/>
      <c r="C106" s="162"/>
      <c r="D106" s="162"/>
      <c r="E106" s="162"/>
    </row>
    <row r="107" spans="1:10" ht="26.25" customHeight="1" x14ac:dyDescent="0.4">
      <c r="A107" s="114" t="s">
        <v>118</v>
      </c>
      <c r="B107" s="115">
        <v>900</v>
      </c>
      <c r="C107" s="258" t="s">
        <v>119</v>
      </c>
      <c r="D107" s="217" t="s">
        <v>63</v>
      </c>
      <c r="E107" s="218" t="s">
        <v>120</v>
      </c>
      <c r="F107" s="219" t="s">
        <v>121</v>
      </c>
    </row>
    <row r="108" spans="1:10" ht="26.25" customHeight="1" x14ac:dyDescent="0.4">
      <c r="A108" s="116" t="s">
        <v>122</v>
      </c>
      <c r="B108" s="117">
        <v>1</v>
      </c>
      <c r="C108" s="220">
        <v>1</v>
      </c>
      <c r="D108" s="221">
        <v>51181687</v>
      </c>
      <c r="E108" s="250">
        <f t="shared" ref="E108:E113" si="1">IF(ISBLANK(D108),"-",D108/$D$103*$D$100*$B$116)</f>
        <v>146.03677759252469</v>
      </c>
      <c r="F108" s="222">
        <f t="shared" ref="F108:F113" si="2">IF(ISBLANK(D108), "-", E108/$B$56)</f>
        <v>0.97357851728349787</v>
      </c>
    </row>
    <row r="109" spans="1:10" ht="26.25" customHeight="1" x14ac:dyDescent="0.4">
      <c r="A109" s="116" t="s">
        <v>95</v>
      </c>
      <c r="B109" s="117">
        <v>1</v>
      </c>
      <c r="C109" s="220">
        <v>2</v>
      </c>
      <c r="D109" s="221">
        <v>50982374</v>
      </c>
      <c r="E109" s="251">
        <f t="shared" si="1"/>
        <v>145.46807753673522</v>
      </c>
      <c r="F109" s="223">
        <f t="shared" si="2"/>
        <v>0.96978718357823479</v>
      </c>
    </row>
    <row r="110" spans="1:10" ht="26.25" customHeight="1" x14ac:dyDescent="0.4">
      <c r="A110" s="116" t="s">
        <v>96</v>
      </c>
      <c r="B110" s="117">
        <v>1</v>
      </c>
      <c r="C110" s="220">
        <v>3</v>
      </c>
      <c r="D110" s="221">
        <v>49833471</v>
      </c>
      <c r="E110" s="251">
        <f t="shared" si="1"/>
        <v>142.18991103381427</v>
      </c>
      <c r="F110" s="223">
        <f t="shared" si="2"/>
        <v>0.94793274022542851</v>
      </c>
    </row>
    <row r="111" spans="1:10" ht="26.25" customHeight="1" x14ac:dyDescent="0.4">
      <c r="A111" s="116" t="s">
        <v>97</v>
      </c>
      <c r="B111" s="117">
        <v>1</v>
      </c>
      <c r="C111" s="220">
        <v>4</v>
      </c>
      <c r="D111" s="221">
        <v>49642528</v>
      </c>
      <c r="E111" s="251">
        <f t="shared" si="1"/>
        <v>141.64509311048462</v>
      </c>
      <c r="F111" s="223">
        <f t="shared" si="2"/>
        <v>0.94430062073656418</v>
      </c>
    </row>
    <row r="112" spans="1:10" ht="26.25" customHeight="1" x14ac:dyDescent="0.4">
      <c r="A112" s="116" t="s">
        <v>98</v>
      </c>
      <c r="B112" s="117">
        <v>1</v>
      </c>
      <c r="C112" s="220">
        <v>5</v>
      </c>
      <c r="D112" s="221">
        <v>51181480</v>
      </c>
      <c r="E112" s="251">
        <f t="shared" si="1"/>
        <v>146.03618695914128</v>
      </c>
      <c r="F112" s="223">
        <f t="shared" si="2"/>
        <v>0.97357457972760852</v>
      </c>
    </row>
    <row r="113" spans="1:10" ht="26.25" customHeight="1" x14ac:dyDescent="0.4">
      <c r="A113" s="116" t="s">
        <v>100</v>
      </c>
      <c r="B113" s="117">
        <v>1</v>
      </c>
      <c r="C113" s="224">
        <v>6</v>
      </c>
      <c r="D113" s="225">
        <v>49708221</v>
      </c>
      <c r="E113" s="252">
        <f t="shared" si="1"/>
        <v>141.8325350373282</v>
      </c>
      <c r="F113" s="226">
        <f t="shared" si="2"/>
        <v>0.94555023358218804</v>
      </c>
    </row>
    <row r="114" spans="1:10" ht="26.25" customHeight="1" x14ac:dyDescent="0.4">
      <c r="A114" s="116" t="s">
        <v>101</v>
      </c>
      <c r="B114" s="117">
        <v>1</v>
      </c>
      <c r="C114" s="220"/>
      <c r="D114" s="203"/>
      <c r="E114" s="188"/>
      <c r="F114" s="227"/>
    </row>
    <row r="115" spans="1:10" ht="26.25" customHeight="1" x14ac:dyDescent="0.4">
      <c r="A115" s="116" t="s">
        <v>102</v>
      </c>
      <c r="B115" s="117">
        <v>1</v>
      </c>
      <c r="C115" s="220"/>
      <c r="D115" s="228" t="s">
        <v>71</v>
      </c>
      <c r="E115" s="254">
        <f>AVERAGE(E108:E113)</f>
        <v>143.86809687833804</v>
      </c>
      <c r="F115" s="229">
        <f>AVERAGE(F108:F113)</f>
        <v>0.9591206458555871</v>
      </c>
    </row>
    <row r="116" spans="1:10" ht="27" customHeight="1" thickBot="1" x14ac:dyDescent="0.45">
      <c r="A116" s="116" t="s">
        <v>103</v>
      </c>
      <c r="B116" s="145">
        <f>(B115/B114)*(B113/B112)*(B111/B110)*(B109/B108)*B107</f>
        <v>900</v>
      </c>
      <c r="C116" s="230"/>
      <c r="D116" s="195" t="s">
        <v>84</v>
      </c>
      <c r="E116" s="231">
        <f>STDEV(E108:E113)/E115</f>
        <v>1.5185667822645773E-2</v>
      </c>
      <c r="F116" s="231">
        <f>STDEV(F108:F113)/F115</f>
        <v>1.5185667822645745E-2</v>
      </c>
      <c r="I116" s="188"/>
    </row>
    <row r="117" spans="1:10" ht="27" customHeight="1" thickBot="1" x14ac:dyDescent="0.45">
      <c r="A117" s="266" t="s">
        <v>78</v>
      </c>
      <c r="B117" s="270"/>
      <c r="C117" s="232"/>
      <c r="D117" s="233" t="s">
        <v>20</v>
      </c>
      <c r="E117" s="234">
        <f>COUNT(E108:E113)</f>
        <v>6</v>
      </c>
      <c r="F117" s="234">
        <f>COUNT(F108:F113)</f>
        <v>6</v>
      </c>
      <c r="I117" s="188"/>
      <c r="J117" s="214"/>
    </row>
    <row r="118" spans="1:10" ht="19.5" customHeight="1" thickBot="1" x14ac:dyDescent="0.35">
      <c r="A118" s="268"/>
      <c r="B118" s="271"/>
      <c r="C118" s="188"/>
      <c r="D118" s="188"/>
      <c r="E118" s="188"/>
      <c r="F118" s="203"/>
      <c r="G118" s="188"/>
      <c r="H118" s="188"/>
      <c r="I118" s="188"/>
    </row>
    <row r="119" spans="1:10" ht="18.75" x14ac:dyDescent="0.3">
      <c r="A119" s="241"/>
      <c r="B119" s="112"/>
      <c r="C119" s="188"/>
      <c r="D119" s="188"/>
      <c r="E119" s="188"/>
      <c r="F119" s="203"/>
      <c r="G119" s="188"/>
      <c r="H119" s="188"/>
      <c r="I119" s="188"/>
    </row>
    <row r="120" spans="1:10" ht="26.25" customHeight="1" x14ac:dyDescent="0.4">
      <c r="A120" s="237" t="s">
        <v>106</v>
      </c>
      <c r="B120" s="195" t="s">
        <v>123</v>
      </c>
      <c r="C120" s="272" t="str">
        <f>B20</f>
        <v>Rifampicin</v>
      </c>
      <c r="D120" s="272"/>
      <c r="E120" s="188" t="s">
        <v>124</v>
      </c>
      <c r="F120" s="188"/>
      <c r="G120" s="189">
        <f>F115</f>
        <v>0.9591206458555871</v>
      </c>
      <c r="H120" s="188"/>
      <c r="I120" s="188"/>
    </row>
    <row r="121" spans="1:10" ht="19.5" customHeight="1" thickBot="1" x14ac:dyDescent="0.35">
      <c r="A121" s="262"/>
      <c r="B121" s="262"/>
      <c r="C121" s="235"/>
      <c r="D121" s="235"/>
      <c r="E121" s="235"/>
      <c r="F121" s="235"/>
      <c r="G121" s="235"/>
      <c r="H121" s="235"/>
    </row>
    <row r="122" spans="1:10" ht="18.75" x14ac:dyDescent="0.3">
      <c r="B122" s="273" t="s">
        <v>26</v>
      </c>
      <c r="C122" s="273"/>
      <c r="E122" s="261" t="s">
        <v>27</v>
      </c>
      <c r="F122" s="236"/>
      <c r="G122" s="273" t="s">
        <v>28</v>
      </c>
      <c r="H122" s="273"/>
    </row>
    <row r="123" spans="1:10" ht="69.95" customHeight="1" x14ac:dyDescent="0.3">
      <c r="A123" s="237" t="s">
        <v>29</v>
      </c>
      <c r="B123" s="238"/>
      <c r="C123" s="238"/>
      <c r="E123" s="238"/>
      <c r="F123" s="188"/>
      <c r="G123" s="238"/>
      <c r="H123" s="238"/>
    </row>
    <row r="124" spans="1:10" ht="69.95" customHeight="1" x14ac:dyDescent="0.3">
      <c r="A124" s="237" t="s">
        <v>30</v>
      </c>
      <c r="B124" s="239"/>
      <c r="C124" s="239"/>
      <c r="E124" s="239"/>
      <c r="F124" s="188"/>
      <c r="G124" s="240"/>
      <c r="H124" s="240"/>
    </row>
    <row r="125" spans="1:10" ht="18.75" x14ac:dyDescent="0.3">
      <c r="A125" s="203"/>
      <c r="B125" s="203"/>
      <c r="C125" s="203"/>
      <c r="D125" s="203"/>
      <c r="E125" s="203"/>
      <c r="F125" s="185"/>
      <c r="G125" s="203"/>
      <c r="H125" s="203"/>
      <c r="I125" s="188"/>
    </row>
    <row r="126" spans="1:10" ht="18.75" x14ac:dyDescent="0.3">
      <c r="A126" s="203"/>
      <c r="B126" s="203"/>
      <c r="C126" s="203"/>
      <c r="D126" s="203"/>
      <c r="E126" s="203"/>
      <c r="F126" s="185"/>
      <c r="G126" s="203"/>
      <c r="H126" s="203"/>
      <c r="I126" s="188"/>
    </row>
    <row r="127" spans="1:10" ht="18.75" x14ac:dyDescent="0.3">
      <c r="A127" s="203"/>
      <c r="B127" s="203"/>
      <c r="C127" s="203"/>
      <c r="D127" s="203"/>
      <c r="E127" s="203"/>
      <c r="F127" s="185"/>
      <c r="G127" s="203"/>
      <c r="H127" s="203"/>
      <c r="I127" s="188"/>
    </row>
    <row r="128" spans="1:10" ht="18.75" x14ac:dyDescent="0.3">
      <c r="A128" s="203"/>
      <c r="B128" s="203"/>
      <c r="C128" s="203"/>
      <c r="D128" s="203"/>
      <c r="E128" s="203"/>
      <c r="F128" s="185"/>
      <c r="G128" s="203"/>
      <c r="H128" s="203"/>
      <c r="I128" s="188"/>
    </row>
    <row r="129" spans="1:9" ht="18.75" x14ac:dyDescent="0.3">
      <c r="A129" s="203"/>
      <c r="B129" s="203"/>
      <c r="C129" s="203"/>
      <c r="D129" s="203"/>
      <c r="E129" s="203"/>
      <c r="F129" s="185"/>
      <c r="G129" s="203"/>
      <c r="H129" s="203"/>
      <c r="I129" s="188"/>
    </row>
    <row r="130" spans="1:9" ht="18.75" x14ac:dyDescent="0.3">
      <c r="A130" s="203"/>
      <c r="B130" s="203"/>
      <c r="C130" s="203"/>
      <c r="D130" s="203"/>
      <c r="E130" s="203"/>
      <c r="F130" s="185"/>
      <c r="G130" s="203"/>
      <c r="H130" s="203"/>
      <c r="I130" s="188"/>
    </row>
    <row r="131" spans="1:9" ht="18.75" x14ac:dyDescent="0.3">
      <c r="A131" s="203"/>
      <c r="B131" s="203"/>
      <c r="C131" s="203"/>
      <c r="D131" s="203"/>
      <c r="E131" s="203"/>
      <c r="F131" s="185"/>
      <c r="G131" s="203"/>
      <c r="H131" s="203"/>
      <c r="I131" s="188"/>
    </row>
    <row r="132" spans="1:9" ht="18.75" x14ac:dyDescent="0.3">
      <c r="A132" s="203"/>
      <c r="B132" s="203"/>
      <c r="C132" s="203"/>
      <c r="D132" s="203"/>
      <c r="E132" s="203"/>
      <c r="F132" s="185"/>
      <c r="G132" s="203"/>
      <c r="H132" s="203"/>
      <c r="I132" s="188"/>
    </row>
    <row r="133" spans="1:9" ht="18.75" x14ac:dyDescent="0.3">
      <c r="A133" s="203"/>
      <c r="B133" s="203"/>
      <c r="C133" s="203"/>
      <c r="D133" s="203"/>
      <c r="E133" s="203"/>
      <c r="F133" s="185"/>
      <c r="G133" s="203"/>
      <c r="H133" s="203"/>
      <c r="I133" s="188"/>
    </row>
    <row r="250" spans="1:1" x14ac:dyDescent="0.25">
      <c r="A250" s="20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F51" sqref="F5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7" t="s">
        <v>31</v>
      </c>
      <c r="B11" s="308"/>
      <c r="C11" s="308"/>
      <c r="D11" s="308"/>
      <c r="E11" s="308"/>
      <c r="F11" s="309"/>
      <c r="G11" s="91"/>
    </row>
    <row r="12" spans="1:7" ht="16.5" customHeight="1" x14ac:dyDescent="0.3">
      <c r="A12" s="306" t="s">
        <v>32</v>
      </c>
      <c r="B12" s="306"/>
      <c r="C12" s="306"/>
      <c r="D12" s="306"/>
      <c r="E12" s="306"/>
      <c r="F12" s="306"/>
      <c r="G12" s="90"/>
    </row>
    <row r="14" spans="1:7" ht="16.5" customHeight="1" x14ac:dyDescent="0.3">
      <c r="A14" s="311" t="s">
        <v>33</v>
      </c>
      <c r="B14" s="311"/>
      <c r="C14" s="60" t="s">
        <v>5</v>
      </c>
    </row>
    <row r="15" spans="1:7" ht="16.5" customHeight="1" x14ac:dyDescent="0.3">
      <c r="A15" s="311" t="s">
        <v>34</v>
      </c>
      <c r="B15" s="311"/>
      <c r="C15" s="60" t="s">
        <v>7</v>
      </c>
    </row>
    <row r="16" spans="1:7" ht="16.5" customHeight="1" x14ac:dyDescent="0.3">
      <c r="A16" s="311" t="s">
        <v>35</v>
      </c>
      <c r="B16" s="311"/>
      <c r="C16" s="60" t="s">
        <v>9</v>
      </c>
    </row>
    <row r="17" spans="1:5" ht="16.5" customHeight="1" x14ac:dyDescent="0.3">
      <c r="A17" s="311" t="s">
        <v>36</v>
      </c>
      <c r="B17" s="311"/>
      <c r="C17" s="60" t="s">
        <v>11</v>
      </c>
    </row>
    <row r="18" spans="1:5" ht="16.5" customHeight="1" x14ac:dyDescent="0.3">
      <c r="A18" s="311" t="s">
        <v>37</v>
      </c>
      <c r="B18" s="311"/>
      <c r="C18" s="97" t="s">
        <v>12</v>
      </c>
    </row>
    <row r="19" spans="1:5" ht="16.5" customHeight="1" x14ac:dyDescent="0.3">
      <c r="A19" s="311" t="s">
        <v>38</v>
      </c>
      <c r="B19" s="31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06" t="s">
        <v>1</v>
      </c>
      <c r="B21" s="306"/>
      <c r="C21" s="59" t="s">
        <v>39</v>
      </c>
      <c r="D21" s="66"/>
    </row>
    <row r="22" spans="1:5" ht="15.75" customHeight="1" x14ac:dyDescent="0.3">
      <c r="A22" s="310"/>
      <c r="B22" s="310"/>
      <c r="C22" s="57"/>
      <c r="D22" s="310"/>
      <c r="E22" s="31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309.5</v>
      </c>
      <c r="D24" s="87">
        <f t="shared" ref="D24:D43" si="0">(C24-$C$46)/$C$46</f>
        <v>1.6076663722944452E-2</v>
      </c>
      <c r="E24" s="53"/>
    </row>
    <row r="25" spans="1:5" ht="15.75" customHeight="1" x14ac:dyDescent="0.3">
      <c r="C25" s="95">
        <v>302.77999999999997</v>
      </c>
      <c r="D25" s="88">
        <f t="shared" si="0"/>
        <v>-5.9848392826071291E-3</v>
      </c>
      <c r="E25" s="53"/>
    </row>
    <row r="26" spans="1:5" ht="15.75" customHeight="1" x14ac:dyDescent="0.3">
      <c r="C26" s="95">
        <v>305.69</v>
      </c>
      <c r="D26" s="88">
        <f t="shared" si="0"/>
        <v>3.5685794296183757E-3</v>
      </c>
      <c r="E26" s="53"/>
    </row>
    <row r="27" spans="1:5" ht="15.75" customHeight="1" x14ac:dyDescent="0.3">
      <c r="C27" s="95">
        <v>295.83</v>
      </c>
      <c r="D27" s="88">
        <f t="shared" si="0"/>
        <v>-2.8801423492217638E-2</v>
      </c>
      <c r="E27" s="53"/>
    </row>
    <row r="28" spans="1:5" ht="15.75" customHeight="1" x14ac:dyDescent="0.3">
      <c r="C28" s="95">
        <v>311.95999999999998</v>
      </c>
      <c r="D28" s="88">
        <f t="shared" si="0"/>
        <v>2.4152749644619484E-2</v>
      </c>
      <c r="E28" s="53"/>
    </row>
    <row r="29" spans="1:5" ht="15.75" customHeight="1" x14ac:dyDescent="0.3">
      <c r="C29" s="95">
        <v>303.87</v>
      </c>
      <c r="D29" s="88">
        <f t="shared" si="0"/>
        <v>-2.4064109677184643E-3</v>
      </c>
      <c r="E29" s="53"/>
    </row>
    <row r="30" spans="1:5" ht="15.75" customHeight="1" x14ac:dyDescent="0.3">
      <c r="C30" s="95">
        <v>301.58</v>
      </c>
      <c r="D30" s="88">
        <f t="shared" si="0"/>
        <v>-9.9243933907412867E-3</v>
      </c>
      <c r="E30" s="53"/>
    </row>
    <row r="31" spans="1:5" ht="15.75" customHeight="1" x14ac:dyDescent="0.3">
      <c r="C31" s="95">
        <v>306.47000000000003</v>
      </c>
      <c r="D31" s="88">
        <f t="shared" si="0"/>
        <v>6.1292895999056993E-3</v>
      </c>
      <c r="E31" s="53"/>
    </row>
    <row r="32" spans="1:5" ht="15.75" customHeight="1" x14ac:dyDescent="0.3">
      <c r="C32" s="95">
        <v>305.79000000000002</v>
      </c>
      <c r="D32" s="88">
        <f t="shared" si="0"/>
        <v>3.8968756052962998E-3</v>
      </c>
      <c r="E32" s="53"/>
    </row>
    <row r="33" spans="1:7" ht="15.75" customHeight="1" x14ac:dyDescent="0.3">
      <c r="C33" s="95">
        <v>304.60000000000002</v>
      </c>
      <c r="D33" s="88">
        <f t="shared" si="0"/>
        <v>-9.8488852701025918E-6</v>
      </c>
      <c r="E33" s="53"/>
    </row>
    <row r="34" spans="1:7" ht="15.75" customHeight="1" x14ac:dyDescent="0.3">
      <c r="C34" s="95">
        <v>303.37</v>
      </c>
      <c r="D34" s="88">
        <f t="shared" si="0"/>
        <v>-4.0478918461077122E-3</v>
      </c>
      <c r="E34" s="53"/>
    </row>
    <row r="35" spans="1:7" ht="15.75" customHeight="1" x14ac:dyDescent="0.3">
      <c r="C35" s="95">
        <v>299.52</v>
      </c>
      <c r="D35" s="88">
        <f t="shared" si="0"/>
        <v>-1.6687294609704997E-2</v>
      </c>
      <c r="E35" s="53"/>
    </row>
    <row r="36" spans="1:7" ht="15.75" customHeight="1" x14ac:dyDescent="0.3">
      <c r="C36" s="95">
        <v>312.54000000000002</v>
      </c>
      <c r="D36" s="88">
        <f t="shared" si="0"/>
        <v>2.6056867463551146E-2</v>
      </c>
      <c r="E36" s="53"/>
    </row>
    <row r="37" spans="1:7" ht="15.75" customHeight="1" x14ac:dyDescent="0.3">
      <c r="C37" s="95">
        <v>309.52999999999997</v>
      </c>
      <c r="D37" s="88">
        <f t="shared" si="0"/>
        <v>1.6175152575647719E-2</v>
      </c>
      <c r="E37" s="53"/>
    </row>
    <row r="38" spans="1:7" ht="15.75" customHeight="1" x14ac:dyDescent="0.3">
      <c r="C38" s="95">
        <v>307.26</v>
      </c>
      <c r="D38" s="88">
        <f t="shared" si="0"/>
        <v>8.7228293877605924E-3</v>
      </c>
      <c r="E38" s="53"/>
    </row>
    <row r="39" spans="1:7" ht="15.75" customHeight="1" x14ac:dyDescent="0.3">
      <c r="C39" s="95">
        <v>302.62</v>
      </c>
      <c r="D39" s="88">
        <f t="shared" si="0"/>
        <v>-6.5101131636915843E-3</v>
      </c>
      <c r="E39" s="53"/>
    </row>
    <row r="40" spans="1:7" ht="15.75" customHeight="1" x14ac:dyDescent="0.3">
      <c r="C40" s="95">
        <v>302.52999999999997</v>
      </c>
      <c r="D40" s="88">
        <f t="shared" si="0"/>
        <v>-6.8055797218017529E-3</v>
      </c>
      <c r="E40" s="53"/>
    </row>
    <row r="41" spans="1:7" ht="15.75" customHeight="1" x14ac:dyDescent="0.3">
      <c r="C41" s="95">
        <v>304.74</v>
      </c>
      <c r="D41" s="88">
        <f t="shared" si="0"/>
        <v>4.4976576067884205E-4</v>
      </c>
      <c r="E41" s="53"/>
    </row>
    <row r="42" spans="1:7" ht="15.75" customHeight="1" x14ac:dyDescent="0.3">
      <c r="C42" s="95">
        <v>304.95999999999998</v>
      </c>
      <c r="D42" s="88">
        <f t="shared" si="0"/>
        <v>1.1720173471700141E-3</v>
      </c>
      <c r="E42" s="53"/>
    </row>
    <row r="43" spans="1:7" ht="16.5" customHeight="1" x14ac:dyDescent="0.3">
      <c r="C43" s="96">
        <v>296.92</v>
      </c>
      <c r="D43" s="89">
        <f t="shared" si="0"/>
        <v>-2.5222995177328972E-2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6092.0599999999995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304.60299999999995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304">
        <f>C46</f>
        <v>304.60299999999995</v>
      </c>
      <c r="C49" s="93">
        <f>-IF(C46&lt;=80,10%,IF(C46&lt;250,7.5%,5%))</f>
        <v>-0.05</v>
      </c>
      <c r="D49" s="81">
        <f>IF(C46&lt;=80,C46*0.9,IF(C46&lt;250,C46*0.925,C46*0.95))</f>
        <v>289.37284999999991</v>
      </c>
    </row>
    <row r="50" spans="1:6" ht="17.25" customHeight="1" x14ac:dyDescent="0.3">
      <c r="B50" s="305"/>
      <c r="C50" s="94">
        <f>IF(C46&lt;=80, 10%, IF(C46&lt;250, 7.5%, 5%))</f>
        <v>0.05</v>
      </c>
      <c r="D50" s="81">
        <f>IF(C46&lt;=80, C46*1.1, IF(C46&lt;250, C46*1.075, C46*1.05))</f>
        <v>319.83314999999999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A24" sqref="A24"/>
    </sheetView>
  </sheetViews>
  <sheetFormatPr defaultRowHeight="13.5" x14ac:dyDescent="0.25"/>
  <cols>
    <col min="1" max="1" width="27.5703125" style="206" customWidth="1"/>
    <col min="2" max="2" width="20.42578125" style="206" customWidth="1"/>
    <col min="3" max="3" width="31.85546875" style="206" customWidth="1"/>
    <col min="4" max="4" width="25.85546875" style="206" customWidth="1"/>
    <col min="5" max="5" width="25.7109375" style="206" customWidth="1"/>
    <col min="6" max="6" width="23.140625" style="206" customWidth="1"/>
    <col min="7" max="7" width="28.42578125" style="206" customWidth="1"/>
    <col min="8" max="8" width="21.5703125" style="206" customWidth="1"/>
    <col min="9" max="9" width="9.140625" style="206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63" t="s">
        <v>0</v>
      </c>
      <c r="B15" s="263"/>
      <c r="C15" s="263"/>
      <c r="D15" s="263"/>
      <c r="E15" s="263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125</v>
      </c>
      <c r="D17" s="9"/>
      <c r="E17" s="72"/>
    </row>
    <row r="18" spans="1:5" ht="16.5" customHeight="1" x14ac:dyDescent="0.3">
      <c r="A18" s="75" t="s">
        <v>4</v>
      </c>
      <c r="B18" s="8" t="s">
        <v>127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98.5</v>
      </c>
      <c r="C19" s="72"/>
      <c r="D19" s="72"/>
      <c r="E19" s="72"/>
    </row>
    <row r="20" spans="1:5" ht="16.5" customHeight="1" x14ac:dyDescent="0.3">
      <c r="A20" s="8" t="s">
        <v>8</v>
      </c>
      <c r="B20" s="12">
        <v>9.86</v>
      </c>
      <c r="C20" s="72"/>
      <c r="D20" s="72"/>
      <c r="E20" s="72"/>
    </row>
    <row r="21" spans="1:5" ht="16.5" customHeight="1" x14ac:dyDescent="0.3">
      <c r="A21" s="8" t="s">
        <v>10</v>
      </c>
      <c r="B21" s="13">
        <v>9.8599999999999993E-2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33597672</v>
      </c>
      <c r="C24" s="18">
        <v>8023.47</v>
      </c>
      <c r="D24" s="19">
        <v>1.08</v>
      </c>
      <c r="E24" s="20">
        <v>2.75</v>
      </c>
    </row>
    <row r="25" spans="1:5" ht="16.5" customHeight="1" x14ac:dyDescent="0.3">
      <c r="A25" s="17">
        <v>2</v>
      </c>
      <c r="B25" s="18">
        <v>33666020</v>
      </c>
      <c r="C25" s="18">
        <v>7956.13</v>
      </c>
      <c r="D25" s="19">
        <v>1.1200000000000001</v>
      </c>
      <c r="E25" s="19">
        <v>2.75</v>
      </c>
    </row>
    <row r="26" spans="1:5" ht="16.5" customHeight="1" x14ac:dyDescent="0.3">
      <c r="A26" s="17">
        <v>3</v>
      </c>
      <c r="B26" s="18">
        <v>33694972</v>
      </c>
      <c r="C26" s="18">
        <v>7972.7</v>
      </c>
      <c r="D26" s="19">
        <v>1.08</v>
      </c>
      <c r="E26" s="19">
        <v>2.75</v>
      </c>
    </row>
    <row r="27" spans="1:5" ht="16.5" customHeight="1" x14ac:dyDescent="0.3">
      <c r="A27" s="17">
        <v>4</v>
      </c>
      <c r="B27" s="18">
        <v>33741699</v>
      </c>
      <c r="C27" s="18">
        <v>7921.47</v>
      </c>
      <c r="D27" s="19">
        <v>1.0900000000000001</v>
      </c>
      <c r="E27" s="19">
        <v>2.75</v>
      </c>
    </row>
    <row r="28" spans="1:5" ht="16.5" customHeight="1" x14ac:dyDescent="0.3">
      <c r="A28" s="17">
        <v>5</v>
      </c>
      <c r="B28" s="18">
        <v>33717156</v>
      </c>
      <c r="C28" s="18">
        <v>7915.38</v>
      </c>
      <c r="D28" s="19">
        <v>1.07</v>
      </c>
      <c r="E28" s="19">
        <v>2.75</v>
      </c>
    </row>
    <row r="29" spans="1:5" ht="16.5" customHeight="1" x14ac:dyDescent="0.3">
      <c r="A29" s="17">
        <v>6</v>
      </c>
      <c r="B29" s="21">
        <v>33742482</v>
      </c>
      <c r="C29" s="21">
        <v>7899.14</v>
      </c>
      <c r="D29" s="22">
        <v>1.1200000000000001</v>
      </c>
      <c r="E29" s="22">
        <v>2.75</v>
      </c>
    </row>
    <row r="30" spans="1:5" ht="16.5" customHeight="1" x14ac:dyDescent="0.3">
      <c r="A30" s="23" t="s">
        <v>18</v>
      </c>
      <c r="B30" s="24">
        <f>AVERAGE(B24:B29)</f>
        <v>33693333.5</v>
      </c>
      <c r="C30" s="25">
        <f>AVERAGE(C24:C29)</f>
        <v>7948.0483333333332</v>
      </c>
      <c r="D30" s="26">
        <f>AVERAGE(D24:D29)</f>
        <v>1.0933333333333335</v>
      </c>
      <c r="E30" s="26">
        <f>AVERAGE(E24:E29)</f>
        <v>2.75</v>
      </c>
    </row>
    <row r="31" spans="1:5" ht="16.5" customHeight="1" x14ac:dyDescent="0.3">
      <c r="A31" s="27" t="s">
        <v>19</v>
      </c>
      <c r="B31" s="28">
        <f>(STDEV(B24:B29)/B30)</f>
        <v>1.6376040795256486E-3</v>
      </c>
      <c r="C31" s="29"/>
      <c r="D31" s="29"/>
      <c r="E31" s="30"/>
    </row>
    <row r="32" spans="1:5" s="206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06" customFormat="1" ht="15.75" customHeight="1" x14ac:dyDescent="0.25">
      <c r="A33" s="72"/>
      <c r="B33" s="72"/>
      <c r="C33" s="72"/>
      <c r="D33" s="72"/>
      <c r="E33" s="72"/>
    </row>
    <row r="34" spans="1:5" s="206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127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98.5</v>
      </c>
      <c r="C40" s="72"/>
      <c r="D40" s="72"/>
      <c r="E40" s="72"/>
    </row>
    <row r="41" spans="1:5" ht="16.5" customHeight="1" x14ac:dyDescent="0.3">
      <c r="A41" s="8" t="s">
        <v>8</v>
      </c>
      <c r="B41" s="12">
        <v>8.99</v>
      </c>
      <c r="C41" s="72"/>
      <c r="D41" s="72"/>
      <c r="E41" s="72"/>
    </row>
    <row r="42" spans="1:5" ht="16.5" customHeight="1" x14ac:dyDescent="0.3">
      <c r="A42" s="8" t="s">
        <v>10</v>
      </c>
      <c r="B42" s="13">
        <f>8.99/100</f>
        <v>8.9900000000000008E-2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29147843</v>
      </c>
      <c r="C45" s="18">
        <v>7569.91</v>
      </c>
      <c r="D45" s="19">
        <v>1.1100000000000001</v>
      </c>
      <c r="E45" s="20">
        <v>2.71</v>
      </c>
    </row>
    <row r="46" spans="1:5" ht="16.5" customHeight="1" x14ac:dyDescent="0.3">
      <c r="A46" s="17">
        <v>2</v>
      </c>
      <c r="B46" s="18">
        <v>29099893</v>
      </c>
      <c r="C46" s="18">
        <v>7595.64</v>
      </c>
      <c r="D46" s="19">
        <v>1.1299999999999999</v>
      </c>
      <c r="E46" s="19">
        <v>2.71</v>
      </c>
    </row>
    <row r="47" spans="1:5" ht="16.5" customHeight="1" x14ac:dyDescent="0.3">
      <c r="A47" s="17">
        <v>3</v>
      </c>
      <c r="B47" s="18">
        <v>29154278</v>
      </c>
      <c r="C47" s="18">
        <v>7652.54</v>
      </c>
      <c r="D47" s="19">
        <v>1.1000000000000001</v>
      </c>
      <c r="E47" s="19">
        <v>2.72</v>
      </c>
    </row>
    <row r="48" spans="1:5" ht="16.5" customHeight="1" x14ac:dyDescent="0.3">
      <c r="A48" s="17">
        <v>4</v>
      </c>
      <c r="B48" s="18">
        <v>29208840</v>
      </c>
      <c r="C48" s="18">
        <v>7660.47</v>
      </c>
      <c r="D48" s="19">
        <v>1.1200000000000001</v>
      </c>
      <c r="E48" s="19">
        <v>2.72</v>
      </c>
    </row>
    <row r="49" spans="1:7" ht="16.5" customHeight="1" x14ac:dyDescent="0.3">
      <c r="A49" s="17">
        <v>5</v>
      </c>
      <c r="B49" s="18">
        <v>28937481</v>
      </c>
      <c r="C49" s="18">
        <v>7671.54</v>
      </c>
      <c r="D49" s="19">
        <v>1.07</v>
      </c>
      <c r="E49" s="19">
        <v>2.71</v>
      </c>
    </row>
    <row r="50" spans="1:7" ht="16.5" customHeight="1" x14ac:dyDescent="0.3">
      <c r="A50" s="17">
        <v>6</v>
      </c>
      <c r="B50" s="21">
        <v>28930411</v>
      </c>
      <c r="C50" s="21">
        <v>7721.44</v>
      </c>
      <c r="D50" s="22">
        <v>1.1000000000000001</v>
      </c>
      <c r="E50" s="22">
        <v>2.71</v>
      </c>
    </row>
    <row r="51" spans="1:7" ht="16.5" customHeight="1" x14ac:dyDescent="0.3">
      <c r="A51" s="23" t="s">
        <v>18</v>
      </c>
      <c r="B51" s="24">
        <v>29079791</v>
      </c>
      <c r="C51" s="25">
        <v>7645</v>
      </c>
      <c r="D51" s="26">
        <v>1.1100000000000001</v>
      </c>
      <c r="E51" s="26">
        <v>2.71</v>
      </c>
    </row>
    <row r="52" spans="1:7" ht="16.5" customHeight="1" x14ac:dyDescent="0.3">
      <c r="A52" s="27" t="s">
        <v>19</v>
      </c>
      <c r="B52" s="28">
        <v>4.0000000000000001E-3</v>
      </c>
      <c r="C52" s="29"/>
      <c r="D52" s="29"/>
      <c r="E52" s="30"/>
    </row>
    <row r="53" spans="1:7" s="206" customFormat="1" ht="16.5" customHeight="1" x14ac:dyDescent="0.3">
      <c r="A53" s="31" t="s">
        <v>20</v>
      </c>
      <c r="B53" s="32">
        <v>6</v>
      </c>
      <c r="C53" s="33"/>
      <c r="D53" s="73"/>
      <c r="E53" s="35"/>
    </row>
    <row r="54" spans="1:7" s="206" customFormat="1" ht="15.75" customHeight="1" x14ac:dyDescent="0.25">
      <c r="A54" s="72"/>
      <c r="B54" s="72"/>
      <c r="C54" s="72"/>
      <c r="D54" s="72"/>
      <c r="E54" s="72"/>
    </row>
    <row r="55" spans="1:7" s="206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140"/>
      <c r="D58" s="43"/>
      <c r="F58" s="44"/>
      <c r="G58" s="44"/>
    </row>
    <row r="59" spans="1:7" ht="15" customHeight="1" x14ac:dyDescent="0.3">
      <c r="B59" s="264" t="s">
        <v>26</v>
      </c>
      <c r="C59" s="264"/>
      <c r="E59" s="256" t="s">
        <v>27</v>
      </c>
      <c r="F59" s="46"/>
      <c r="G59" s="256" t="s">
        <v>28</v>
      </c>
    </row>
    <row r="60" spans="1:7" ht="15" customHeight="1" x14ac:dyDescent="0.3">
      <c r="A60" s="47" t="s">
        <v>29</v>
      </c>
      <c r="B60" s="49" t="s">
        <v>128</v>
      </c>
      <c r="C60" s="49"/>
      <c r="E60" s="49" t="s">
        <v>131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0" zoomScale="50" zoomScaleNormal="40" zoomScalePageLayoutView="50" workbookViewId="0">
      <selection activeCell="E47" sqref="E47"/>
    </sheetView>
  </sheetViews>
  <sheetFormatPr defaultColWidth="9.140625" defaultRowHeight="13.5" x14ac:dyDescent="0.25"/>
  <cols>
    <col min="1" max="1" width="55.42578125" style="206" customWidth="1"/>
    <col min="2" max="2" width="33.7109375" style="206" customWidth="1"/>
    <col min="3" max="3" width="42.28515625" style="206" customWidth="1"/>
    <col min="4" max="4" width="30.5703125" style="206" customWidth="1"/>
    <col min="5" max="5" width="39.85546875" style="206" customWidth="1"/>
    <col min="6" max="6" width="30.7109375" style="206" customWidth="1"/>
    <col min="7" max="7" width="39.85546875" style="206" customWidth="1"/>
    <col min="8" max="8" width="30" style="206" customWidth="1"/>
    <col min="9" max="9" width="30.28515625" style="206" hidden="1" customWidth="1"/>
    <col min="10" max="10" width="30.42578125" style="206" customWidth="1"/>
    <col min="11" max="11" width="21.28515625" style="206" customWidth="1"/>
    <col min="12" max="12" width="9.140625" style="206"/>
    <col min="13" max="16384" width="9.140625" style="44"/>
  </cols>
  <sheetData>
    <row r="1" spans="1:9" ht="18.75" customHeight="1" x14ac:dyDescent="0.25">
      <c r="A1" s="295" t="s">
        <v>45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46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thickBot="1" x14ac:dyDescent="0.35">
      <c r="A15" s="188"/>
    </row>
    <row r="16" spans="1:9" ht="19.5" customHeight="1" thickBot="1" x14ac:dyDescent="0.35">
      <c r="A16" s="297" t="s">
        <v>31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25">
      <c r="A17" s="300" t="s">
        <v>47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4">
      <c r="A18" s="98" t="s">
        <v>33</v>
      </c>
      <c r="B18" s="301" t="s">
        <v>5</v>
      </c>
      <c r="C18" s="301"/>
      <c r="D18" s="242"/>
      <c r="E18" s="99"/>
      <c r="F18" s="255"/>
      <c r="G18" s="255"/>
      <c r="H18" s="255"/>
    </row>
    <row r="19" spans="1:14" ht="26.25" customHeight="1" x14ac:dyDescent="0.4">
      <c r="A19" s="98" t="s">
        <v>34</v>
      </c>
      <c r="B19" s="257" t="s">
        <v>7</v>
      </c>
      <c r="C19" s="255">
        <v>29</v>
      </c>
      <c r="D19" s="255"/>
      <c r="E19" s="255"/>
      <c r="F19" s="255"/>
      <c r="G19" s="255"/>
      <c r="H19" s="255"/>
    </row>
    <row r="20" spans="1:14" ht="26.25" customHeight="1" x14ac:dyDescent="0.4">
      <c r="A20" s="98" t="s">
        <v>35</v>
      </c>
      <c r="B20" s="302" t="s">
        <v>127</v>
      </c>
      <c r="C20" s="302"/>
      <c r="D20" s="255"/>
      <c r="E20" s="255"/>
      <c r="F20" s="255"/>
      <c r="G20" s="255"/>
      <c r="H20" s="255"/>
    </row>
    <row r="21" spans="1:14" ht="26.25" customHeight="1" x14ac:dyDescent="0.4">
      <c r="A21" s="98" t="s">
        <v>36</v>
      </c>
      <c r="B21" s="302" t="s">
        <v>11</v>
      </c>
      <c r="C21" s="302"/>
      <c r="D21" s="302"/>
      <c r="E21" s="302"/>
      <c r="F21" s="302"/>
      <c r="G21" s="302"/>
      <c r="H21" s="302"/>
      <c r="I21" s="100"/>
    </row>
    <row r="22" spans="1:14" ht="26.25" customHeight="1" x14ac:dyDescent="0.4">
      <c r="A22" s="98" t="s">
        <v>37</v>
      </c>
      <c r="B22" s="101">
        <v>42531</v>
      </c>
      <c r="C22" s="255"/>
      <c r="D22" s="255"/>
      <c r="E22" s="255"/>
      <c r="F22" s="255"/>
      <c r="G22" s="255"/>
      <c r="H22" s="255"/>
    </row>
    <row r="23" spans="1:14" ht="26.25" customHeight="1" x14ac:dyDescent="0.4">
      <c r="A23" s="98" t="s">
        <v>38</v>
      </c>
      <c r="B23" s="101">
        <v>42532</v>
      </c>
      <c r="C23" s="255"/>
      <c r="D23" s="255"/>
      <c r="E23" s="255"/>
      <c r="F23" s="255"/>
      <c r="G23" s="255"/>
      <c r="H23" s="255"/>
    </row>
    <row r="24" spans="1:14" ht="18.75" x14ac:dyDescent="0.3">
      <c r="A24" s="98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237" t="s">
        <v>4</v>
      </c>
      <c r="B26" s="301" t="s">
        <v>127</v>
      </c>
      <c r="C26" s="301"/>
    </row>
    <row r="27" spans="1:14" ht="26.25" customHeight="1" x14ac:dyDescent="0.4">
      <c r="A27" s="195" t="s">
        <v>48</v>
      </c>
      <c r="B27" s="303" t="s">
        <v>130</v>
      </c>
      <c r="C27" s="303"/>
    </row>
    <row r="28" spans="1:14" ht="27" customHeight="1" thickBot="1" x14ac:dyDescent="0.45">
      <c r="A28" s="195" t="s">
        <v>6</v>
      </c>
      <c r="B28" s="190">
        <v>98.5</v>
      </c>
    </row>
    <row r="29" spans="1:14" s="16" customFormat="1" ht="27" customHeight="1" thickBot="1" x14ac:dyDescent="0.45">
      <c r="A29" s="195" t="s">
        <v>49</v>
      </c>
      <c r="B29" s="104">
        <v>0</v>
      </c>
      <c r="C29" s="284" t="s">
        <v>50</v>
      </c>
      <c r="D29" s="285"/>
      <c r="E29" s="285"/>
      <c r="F29" s="285"/>
      <c r="G29" s="286"/>
      <c r="I29" s="105"/>
      <c r="J29" s="105"/>
      <c r="K29" s="105"/>
      <c r="L29" s="105"/>
    </row>
    <row r="30" spans="1:14" s="16" customFormat="1" ht="19.5" customHeight="1" thickBot="1" x14ac:dyDescent="0.35">
      <c r="A30" s="195" t="s">
        <v>51</v>
      </c>
      <c r="B30" s="260">
        <f>B28-B29</f>
        <v>98.5</v>
      </c>
      <c r="C30" s="106"/>
      <c r="D30" s="106"/>
      <c r="E30" s="106"/>
      <c r="F30" s="106"/>
      <c r="G30" s="107"/>
      <c r="I30" s="105"/>
      <c r="J30" s="105"/>
      <c r="K30" s="105"/>
      <c r="L30" s="105"/>
    </row>
    <row r="31" spans="1:14" s="16" customFormat="1" ht="27" customHeight="1" thickBot="1" x14ac:dyDescent="0.45">
      <c r="A31" s="195" t="s">
        <v>52</v>
      </c>
      <c r="B31" s="108">
        <v>1</v>
      </c>
      <c r="C31" s="287" t="s">
        <v>53</v>
      </c>
      <c r="D31" s="288"/>
      <c r="E31" s="288"/>
      <c r="F31" s="288"/>
      <c r="G31" s="288"/>
      <c r="H31" s="289"/>
      <c r="I31" s="105"/>
      <c r="J31" s="105"/>
      <c r="K31" s="105"/>
      <c r="L31" s="105"/>
    </row>
    <row r="32" spans="1:14" s="16" customFormat="1" ht="27" customHeight="1" thickBot="1" x14ac:dyDescent="0.45">
      <c r="A32" s="195" t="s">
        <v>54</v>
      </c>
      <c r="B32" s="108">
        <v>1</v>
      </c>
      <c r="C32" s="287" t="s">
        <v>55</v>
      </c>
      <c r="D32" s="288"/>
      <c r="E32" s="288"/>
      <c r="F32" s="288"/>
      <c r="G32" s="288"/>
      <c r="H32" s="289"/>
      <c r="I32" s="105"/>
      <c r="J32" s="105"/>
      <c r="K32" s="105"/>
      <c r="L32" s="109"/>
      <c r="M32" s="109"/>
      <c r="N32" s="110"/>
    </row>
    <row r="33" spans="1:14" s="16" customFormat="1" ht="17.25" customHeight="1" x14ac:dyDescent="0.3">
      <c r="A33" s="195"/>
      <c r="B33" s="111"/>
      <c r="C33" s="112"/>
      <c r="D33" s="112"/>
      <c r="E33" s="112"/>
      <c r="F33" s="112"/>
      <c r="G33" s="112"/>
      <c r="H33" s="112"/>
      <c r="I33" s="105"/>
      <c r="J33" s="105"/>
      <c r="K33" s="105"/>
      <c r="L33" s="109"/>
      <c r="M33" s="109"/>
      <c r="N33" s="110"/>
    </row>
    <row r="34" spans="1:14" s="16" customFormat="1" ht="18.75" x14ac:dyDescent="0.3">
      <c r="A34" s="195" t="s">
        <v>56</v>
      </c>
      <c r="B34" s="113">
        <f>B31/B32</f>
        <v>1</v>
      </c>
      <c r="C34" s="188" t="s">
        <v>57</v>
      </c>
      <c r="D34" s="188"/>
      <c r="E34" s="188"/>
      <c r="F34" s="188"/>
      <c r="G34" s="188"/>
      <c r="I34" s="105"/>
      <c r="J34" s="105"/>
      <c r="K34" s="105"/>
      <c r="L34" s="109"/>
      <c r="M34" s="109"/>
      <c r="N34" s="110"/>
    </row>
    <row r="35" spans="1:14" s="16" customFormat="1" ht="19.5" customHeight="1" thickBot="1" x14ac:dyDescent="0.35">
      <c r="A35" s="195"/>
      <c r="B35" s="260"/>
      <c r="G35" s="188"/>
      <c r="I35" s="105"/>
      <c r="J35" s="105"/>
      <c r="K35" s="105"/>
      <c r="L35" s="109"/>
      <c r="M35" s="109"/>
      <c r="N35" s="110"/>
    </row>
    <row r="36" spans="1:14" s="16" customFormat="1" ht="27" customHeight="1" thickBot="1" x14ac:dyDescent="0.45">
      <c r="A36" s="114" t="s">
        <v>58</v>
      </c>
      <c r="B36" s="115">
        <v>100</v>
      </c>
      <c r="C36" s="188"/>
      <c r="D36" s="274" t="s">
        <v>59</v>
      </c>
      <c r="E36" s="294"/>
      <c r="F36" s="274" t="s">
        <v>60</v>
      </c>
      <c r="G36" s="275"/>
      <c r="J36" s="105"/>
      <c r="K36" s="105"/>
      <c r="L36" s="109"/>
      <c r="M36" s="109"/>
      <c r="N36" s="110"/>
    </row>
    <row r="37" spans="1:14" s="16" customFormat="1" ht="27" customHeight="1" thickBot="1" x14ac:dyDescent="0.45">
      <c r="A37" s="116" t="s">
        <v>61</v>
      </c>
      <c r="B37" s="117">
        <v>1</v>
      </c>
      <c r="C37" s="118" t="s">
        <v>62</v>
      </c>
      <c r="D37" s="119" t="s">
        <v>63</v>
      </c>
      <c r="E37" s="120" t="s">
        <v>64</v>
      </c>
      <c r="F37" s="119" t="s">
        <v>63</v>
      </c>
      <c r="G37" s="121" t="s">
        <v>64</v>
      </c>
      <c r="I37" s="122" t="s">
        <v>65</v>
      </c>
      <c r="J37" s="105"/>
      <c r="K37" s="105"/>
      <c r="L37" s="109"/>
      <c r="M37" s="109"/>
      <c r="N37" s="110"/>
    </row>
    <row r="38" spans="1:14" s="16" customFormat="1" ht="26.25" customHeight="1" x14ac:dyDescent="0.4">
      <c r="A38" s="116" t="s">
        <v>66</v>
      </c>
      <c r="B38" s="117">
        <v>1</v>
      </c>
      <c r="C38" s="123">
        <v>1</v>
      </c>
      <c r="D38" s="124">
        <v>33672014</v>
      </c>
      <c r="E38" s="125">
        <f>IF(ISBLANK(D38),"-",$D$48/$D$45*D38)</f>
        <v>27736134.512618281</v>
      </c>
      <c r="F38" s="124">
        <v>27605097</v>
      </c>
      <c r="G38" s="126">
        <f>IF(ISBLANK(F38),"-",$D$48/$F$45*F38)</f>
        <v>27611309.544647548</v>
      </c>
      <c r="I38" s="127"/>
      <c r="J38" s="105"/>
      <c r="K38" s="105"/>
      <c r="L38" s="109"/>
      <c r="M38" s="109"/>
      <c r="N38" s="110"/>
    </row>
    <row r="39" spans="1:14" s="16" customFormat="1" ht="26.25" customHeight="1" x14ac:dyDescent="0.4">
      <c r="A39" s="116" t="s">
        <v>67</v>
      </c>
      <c r="B39" s="117">
        <v>1</v>
      </c>
      <c r="C39" s="145">
        <v>2</v>
      </c>
      <c r="D39" s="128">
        <v>33668892</v>
      </c>
      <c r="E39" s="129">
        <f>IF(ISBLANK(D39),"-",$D$48/$D$45*D39)</f>
        <v>27733562.875176329</v>
      </c>
      <c r="F39" s="128">
        <v>27617567</v>
      </c>
      <c r="G39" s="130">
        <f>IF(ISBLANK(F39),"-",$D$48/$F$45*F39)</f>
        <v>27623782.351028983</v>
      </c>
      <c r="I39" s="265">
        <f>ABS((F43/D43*D42)-F42)/D42</f>
        <v>3.3791889042000286E-3</v>
      </c>
      <c r="J39" s="105"/>
      <c r="K39" s="105"/>
      <c r="L39" s="109"/>
      <c r="M39" s="109"/>
      <c r="N39" s="110"/>
    </row>
    <row r="40" spans="1:14" ht="26.25" customHeight="1" x14ac:dyDescent="0.4">
      <c r="A40" s="116" t="s">
        <v>68</v>
      </c>
      <c r="B40" s="117">
        <v>1</v>
      </c>
      <c r="C40" s="145">
        <v>3</v>
      </c>
      <c r="D40" s="128">
        <v>33629878</v>
      </c>
      <c r="E40" s="129">
        <f>IF(ISBLANK(D40),"-",$D$48/$D$45*D40)</f>
        <v>27701426.468014129</v>
      </c>
      <c r="F40" s="128">
        <v>27588547</v>
      </c>
      <c r="G40" s="130">
        <f>IF(ISBLANK(F40),"-",$D$48/$F$45*F40)</f>
        <v>27594755.820059516</v>
      </c>
      <c r="I40" s="265"/>
      <c r="L40" s="109"/>
      <c r="M40" s="109"/>
      <c r="N40" s="188"/>
    </row>
    <row r="41" spans="1:14" ht="27" customHeight="1" thickBot="1" x14ac:dyDescent="0.45">
      <c r="A41" s="116" t="s">
        <v>69</v>
      </c>
      <c r="B41" s="117">
        <v>1</v>
      </c>
      <c r="C41" s="131">
        <v>4</v>
      </c>
      <c r="D41" s="132"/>
      <c r="E41" s="133" t="str">
        <f>IF(ISBLANK(D41),"-",$D$48/$D$45*D41)</f>
        <v>-</v>
      </c>
      <c r="F41" s="132"/>
      <c r="G41" s="134" t="str">
        <f>IF(ISBLANK(F41),"-",$D$48/$F$45*F41)</f>
        <v>-</v>
      </c>
      <c r="I41" s="135"/>
      <c r="L41" s="109"/>
      <c r="M41" s="109"/>
      <c r="N41" s="188"/>
    </row>
    <row r="42" spans="1:14" ht="27" customHeight="1" thickBot="1" x14ac:dyDescent="0.45">
      <c r="A42" s="116" t="s">
        <v>70</v>
      </c>
      <c r="B42" s="117">
        <v>1</v>
      </c>
      <c r="C42" s="136" t="s">
        <v>71</v>
      </c>
      <c r="D42" s="137">
        <f>AVERAGE(D38:D41)</f>
        <v>33656928</v>
      </c>
      <c r="E42" s="138">
        <f>AVERAGE(E38:E41)</f>
        <v>27723707.951936245</v>
      </c>
      <c r="F42" s="137">
        <f>AVERAGE(F38:F41)</f>
        <v>27603737</v>
      </c>
      <c r="G42" s="139">
        <f>AVERAGE(G38:G41)</f>
        <v>27609949.238578681</v>
      </c>
      <c r="H42" s="140"/>
    </row>
    <row r="43" spans="1:14" ht="26.25" customHeight="1" x14ac:dyDescent="0.4">
      <c r="A43" s="116" t="s">
        <v>72</v>
      </c>
      <c r="B43" s="117">
        <v>1</v>
      </c>
      <c r="C43" s="141" t="s">
        <v>73</v>
      </c>
      <c r="D43" s="142">
        <v>9.86</v>
      </c>
      <c r="E43" s="188"/>
      <c r="F43" s="142">
        <v>8.1199999999999992</v>
      </c>
      <c r="H43" s="140"/>
    </row>
    <row r="44" spans="1:14" ht="26.25" customHeight="1" x14ac:dyDescent="0.4">
      <c r="A44" s="116" t="s">
        <v>74</v>
      </c>
      <c r="B44" s="117">
        <v>1</v>
      </c>
      <c r="C44" s="143" t="s">
        <v>75</v>
      </c>
      <c r="D44" s="144">
        <f>D43*$B$34</f>
        <v>9.86</v>
      </c>
      <c r="E44" s="203"/>
      <c r="F44" s="144">
        <f>F43*$B$34</f>
        <v>8.1199999999999992</v>
      </c>
      <c r="H44" s="140"/>
    </row>
    <row r="45" spans="1:14" ht="19.5" customHeight="1" thickBot="1" x14ac:dyDescent="0.35">
      <c r="A45" s="116" t="s">
        <v>76</v>
      </c>
      <c r="B45" s="145">
        <f>(B44/B43)*(B42/B41)*(B40/B39)*(B38/B37)*B36</f>
        <v>100</v>
      </c>
      <c r="C45" s="143" t="s">
        <v>77</v>
      </c>
      <c r="D45" s="146">
        <f>D44*$B$30/100</f>
        <v>9.7120999999999995</v>
      </c>
      <c r="E45" s="185"/>
      <c r="F45" s="146">
        <f>F44*$B$30/100</f>
        <v>7.9981999999999998</v>
      </c>
      <c r="H45" s="140"/>
    </row>
    <row r="46" spans="1:14" ht="19.5" customHeight="1" thickBot="1" x14ac:dyDescent="0.35">
      <c r="A46" s="266" t="s">
        <v>78</v>
      </c>
      <c r="B46" s="270"/>
      <c r="C46" s="143" t="s">
        <v>79</v>
      </c>
      <c r="D46" s="147">
        <f>D45/$B$45</f>
        <v>9.7120999999999999E-2</v>
      </c>
      <c r="E46" s="148"/>
      <c r="F46" s="149">
        <f>F45/$B$45</f>
        <v>7.9981999999999998E-2</v>
      </c>
      <c r="H46" s="140"/>
    </row>
    <row r="47" spans="1:14" ht="27" customHeight="1" thickBot="1" x14ac:dyDescent="0.45">
      <c r="A47" s="268"/>
      <c r="B47" s="271"/>
      <c r="C47" s="150" t="s">
        <v>80</v>
      </c>
      <c r="D47" s="151">
        <v>0.08</v>
      </c>
      <c r="E47" s="152"/>
      <c r="F47" s="148"/>
      <c r="H47" s="140"/>
    </row>
    <row r="48" spans="1:14" ht="18.75" x14ac:dyDescent="0.3">
      <c r="C48" s="153" t="s">
        <v>81</v>
      </c>
      <c r="D48" s="146">
        <f>D47*$B$45</f>
        <v>8</v>
      </c>
      <c r="F48" s="154"/>
      <c r="H48" s="140"/>
    </row>
    <row r="49" spans="1:12" ht="19.5" customHeight="1" thickBot="1" x14ac:dyDescent="0.35">
      <c r="C49" s="155" t="s">
        <v>82</v>
      </c>
      <c r="D49" s="156">
        <f>D48/B34</f>
        <v>8</v>
      </c>
      <c r="F49" s="154"/>
      <c r="H49" s="140"/>
    </row>
    <row r="50" spans="1:12" ht="18.75" x14ac:dyDescent="0.3">
      <c r="C50" s="114" t="s">
        <v>83</v>
      </c>
      <c r="D50" s="157">
        <f>AVERAGE(E38:E41,G38:G41)</f>
        <v>27666828.595257461</v>
      </c>
      <c r="F50" s="158"/>
      <c r="H50" s="140"/>
    </row>
    <row r="51" spans="1:12" ht="18.75" x14ac:dyDescent="0.3">
      <c r="C51" s="116" t="s">
        <v>84</v>
      </c>
      <c r="D51" s="159">
        <f>STDEV(E38:E41,G38:G41)/D50</f>
        <v>2.3190838712229054E-3</v>
      </c>
      <c r="F51" s="158"/>
      <c r="H51" s="140"/>
    </row>
    <row r="52" spans="1:12" ht="19.5" customHeight="1" thickBot="1" x14ac:dyDescent="0.35">
      <c r="C52" s="160" t="s">
        <v>20</v>
      </c>
      <c r="D52" s="161">
        <f>COUNT(E38:E41,G38:G41)</f>
        <v>6</v>
      </c>
      <c r="F52" s="158"/>
    </row>
    <row r="54" spans="1:12" ht="18.75" x14ac:dyDescent="0.3">
      <c r="A54" s="162" t="s">
        <v>1</v>
      </c>
      <c r="B54" s="163" t="s">
        <v>85</v>
      </c>
    </row>
    <row r="55" spans="1:12" ht="18.75" x14ac:dyDescent="0.3">
      <c r="A55" s="188" t="s">
        <v>86</v>
      </c>
      <c r="B55" s="164" t="str">
        <f>B21</f>
        <v>Each Tablet contains: Rifampicin 150mg, Isoniazid 75mg</v>
      </c>
    </row>
    <row r="56" spans="1:12" ht="26.25" customHeight="1" x14ac:dyDescent="0.4">
      <c r="A56" s="164" t="s">
        <v>87</v>
      </c>
      <c r="B56" s="165">
        <v>75</v>
      </c>
      <c r="C56" s="188" t="str">
        <f>B20</f>
        <v>Isoniazid</v>
      </c>
      <c r="H56" s="203"/>
    </row>
    <row r="57" spans="1:12" ht="18.75" x14ac:dyDescent="0.3">
      <c r="A57" s="164" t="s">
        <v>88</v>
      </c>
      <c r="B57" s="243">
        <f>Uniformity!C46</f>
        <v>304.60299999999995</v>
      </c>
      <c r="H57" s="203"/>
    </row>
    <row r="58" spans="1:12" ht="19.5" customHeight="1" thickBot="1" x14ac:dyDescent="0.35">
      <c r="H58" s="203"/>
    </row>
    <row r="59" spans="1:12" s="16" customFormat="1" ht="27" customHeight="1" thickBot="1" x14ac:dyDescent="0.45">
      <c r="A59" s="114" t="s">
        <v>89</v>
      </c>
      <c r="B59" s="115">
        <v>100</v>
      </c>
      <c r="C59" s="188"/>
      <c r="D59" s="166" t="s">
        <v>90</v>
      </c>
      <c r="E59" s="167" t="s">
        <v>62</v>
      </c>
      <c r="F59" s="167" t="s">
        <v>63</v>
      </c>
      <c r="G59" s="167" t="s">
        <v>91</v>
      </c>
      <c r="H59" s="118" t="s">
        <v>92</v>
      </c>
      <c r="L59" s="105"/>
    </row>
    <row r="60" spans="1:12" s="16" customFormat="1" ht="26.25" customHeight="1" x14ac:dyDescent="0.4">
      <c r="A60" s="116" t="s">
        <v>93</v>
      </c>
      <c r="B60" s="117">
        <v>1</v>
      </c>
      <c r="C60" s="276" t="s">
        <v>94</v>
      </c>
      <c r="D60" s="279">
        <v>30.21</v>
      </c>
      <c r="E60" s="168">
        <v>1</v>
      </c>
      <c r="F60" s="169">
        <v>25072348</v>
      </c>
      <c r="G60" s="244">
        <f>IF(ISBLANK(F60),"-",(F60/$D$50*$D$47*$B$68)*($B$57/$D$60))</f>
        <v>73.098601062956888</v>
      </c>
      <c r="H60" s="170">
        <f t="shared" ref="H60:H71" si="0">IF(ISBLANK(F60),"-",G60/$B$56)</f>
        <v>0.97464801417275848</v>
      </c>
      <c r="L60" s="105"/>
    </row>
    <row r="61" spans="1:12" s="16" customFormat="1" ht="26.25" customHeight="1" x14ac:dyDescent="0.4">
      <c r="A61" s="116" t="s">
        <v>95</v>
      </c>
      <c r="B61" s="117">
        <v>1</v>
      </c>
      <c r="C61" s="277"/>
      <c r="D61" s="280"/>
      <c r="E61" s="171">
        <v>2</v>
      </c>
      <c r="F61" s="128">
        <v>25066042</v>
      </c>
      <c r="G61" s="245">
        <f>IF(ISBLANK(F61),"-",(F61/$D$50*$D$47*$B$68)*($B$57/$D$60))</f>
        <v>73.080215877081869</v>
      </c>
      <c r="H61" s="172">
        <f t="shared" si="0"/>
        <v>0.97440287836109163</v>
      </c>
      <c r="L61" s="105"/>
    </row>
    <row r="62" spans="1:12" s="16" customFormat="1" ht="26.25" customHeight="1" x14ac:dyDescent="0.4">
      <c r="A62" s="116" t="s">
        <v>96</v>
      </c>
      <c r="B62" s="117">
        <v>1</v>
      </c>
      <c r="C62" s="277"/>
      <c r="D62" s="280"/>
      <c r="E62" s="171">
        <v>3</v>
      </c>
      <c r="F62" s="173">
        <v>25049679</v>
      </c>
      <c r="G62" s="245">
        <f>IF(ISBLANK(F62),"-",(F62/$D$50*$D$47*$B$68)*($B$57/$D$60))</f>
        <v>73.032509439328493</v>
      </c>
      <c r="H62" s="172">
        <f t="shared" si="0"/>
        <v>0.97376679252437992</v>
      </c>
      <c r="L62" s="105"/>
    </row>
    <row r="63" spans="1:12" ht="27" customHeight="1" thickBot="1" x14ac:dyDescent="0.45">
      <c r="A63" s="116" t="s">
        <v>97</v>
      </c>
      <c r="B63" s="117">
        <v>1</v>
      </c>
      <c r="C63" s="278"/>
      <c r="D63" s="281"/>
      <c r="E63" s="174">
        <v>4</v>
      </c>
      <c r="F63" s="175"/>
      <c r="G63" s="245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116" t="s">
        <v>98</v>
      </c>
      <c r="B64" s="117">
        <v>1</v>
      </c>
      <c r="C64" s="276" t="s">
        <v>99</v>
      </c>
      <c r="D64" s="279">
        <v>29.13</v>
      </c>
      <c r="E64" s="168">
        <v>1</v>
      </c>
      <c r="F64" s="169">
        <v>24244817</v>
      </c>
      <c r="G64" s="246">
        <f>IF(ISBLANK(F64),"-",(F64/$D$50*$D$47*$B$68)*($B$57/$D$64))</f>
        <v>73.306622355970731</v>
      </c>
      <c r="H64" s="176">
        <f t="shared" si="0"/>
        <v>0.97742163141294303</v>
      </c>
    </row>
    <row r="65" spans="1:8" ht="26.25" customHeight="1" x14ac:dyDescent="0.4">
      <c r="A65" s="116" t="s">
        <v>100</v>
      </c>
      <c r="B65" s="117">
        <v>1</v>
      </c>
      <c r="C65" s="277"/>
      <c r="D65" s="280"/>
      <c r="E65" s="171">
        <v>2</v>
      </c>
      <c r="F65" s="128">
        <v>24267298</v>
      </c>
      <c r="G65" s="247">
        <f>IF(ISBLANK(F65),"-",(F65/$D$50*$D$47*$B$68)*($B$57/$D$64))</f>
        <v>73.374595901705661</v>
      </c>
      <c r="H65" s="177">
        <f t="shared" si="0"/>
        <v>0.97832794535607548</v>
      </c>
    </row>
    <row r="66" spans="1:8" ht="26.25" customHeight="1" x14ac:dyDescent="0.4">
      <c r="A66" s="116" t="s">
        <v>101</v>
      </c>
      <c r="B66" s="117">
        <v>1</v>
      </c>
      <c r="C66" s="277"/>
      <c r="D66" s="280"/>
      <c r="E66" s="171">
        <v>3</v>
      </c>
      <c r="F66" s="128">
        <v>24895909</v>
      </c>
      <c r="G66" s="247">
        <f>IF(ISBLANK(F66),"-",(F66/$D$50*$D$47*$B$68)*($B$57/$D$64))</f>
        <v>75.275263957307359</v>
      </c>
      <c r="H66" s="177">
        <f t="shared" si="0"/>
        <v>1.0036701860974315</v>
      </c>
    </row>
    <row r="67" spans="1:8" ht="27" customHeight="1" thickBot="1" x14ac:dyDescent="0.45">
      <c r="A67" s="116" t="s">
        <v>102</v>
      </c>
      <c r="B67" s="117">
        <v>1</v>
      </c>
      <c r="C67" s="278"/>
      <c r="D67" s="281"/>
      <c r="E67" s="174">
        <v>4</v>
      </c>
      <c r="F67" s="175"/>
      <c r="G67" s="248" t="str">
        <f>IF(ISBLANK(F67),"-",(F67/$D$50*$D$47*$B$68)*($B$57/$D$64))</f>
        <v>-</v>
      </c>
      <c r="H67" s="178" t="str">
        <f t="shared" si="0"/>
        <v>-</v>
      </c>
    </row>
    <row r="68" spans="1:8" ht="26.25" customHeight="1" x14ac:dyDescent="0.4">
      <c r="A68" s="116" t="s">
        <v>103</v>
      </c>
      <c r="B68" s="179">
        <f>(B67/B66)*(B65/B64)*(B63/B62)*(B61/B60)*B59</f>
        <v>100</v>
      </c>
      <c r="C68" s="276" t="s">
        <v>104</v>
      </c>
      <c r="D68" s="279">
        <v>31.25</v>
      </c>
      <c r="E68" s="168">
        <v>1</v>
      </c>
      <c r="F68" s="169">
        <v>26223601</v>
      </c>
      <c r="G68" s="246">
        <f>IF(ISBLANK(F68),"-",(F68/$D$50*$D$47*$B$68)*($B$57/$D$68))</f>
        <v>73.910661716164043</v>
      </c>
      <c r="H68" s="172">
        <f t="shared" si="0"/>
        <v>0.98547548954885389</v>
      </c>
    </row>
    <row r="69" spans="1:8" ht="27" customHeight="1" thickBot="1" x14ac:dyDescent="0.45">
      <c r="A69" s="160" t="s">
        <v>105</v>
      </c>
      <c r="B69" s="180">
        <f>(D47*B68)/B56*B57</f>
        <v>32.490986666666664</v>
      </c>
      <c r="C69" s="277"/>
      <c r="D69" s="280"/>
      <c r="E69" s="171">
        <v>2</v>
      </c>
      <c r="F69" s="128">
        <v>26603855</v>
      </c>
      <c r="G69" s="247">
        <f>IF(ISBLANK(F69),"-",(F69/$D$50*$D$47*$B$68)*($B$57/$D$68))</f>
        <v>74.982399528229507</v>
      </c>
      <c r="H69" s="172">
        <f t="shared" si="0"/>
        <v>0.99976532704306009</v>
      </c>
    </row>
    <row r="70" spans="1:8" ht="26.25" customHeight="1" x14ac:dyDescent="0.4">
      <c r="A70" s="290" t="s">
        <v>78</v>
      </c>
      <c r="B70" s="291"/>
      <c r="C70" s="277"/>
      <c r="D70" s="280"/>
      <c r="E70" s="171">
        <v>3</v>
      </c>
      <c r="F70" s="128">
        <v>26607713</v>
      </c>
      <c r="G70" s="247">
        <f>IF(ISBLANK(F70),"-",(F70/$D$50*$D$47*$B$68)*($B$57/$D$68))</f>
        <v>74.993273219180693</v>
      </c>
      <c r="H70" s="172">
        <f t="shared" si="0"/>
        <v>0.9999103095890759</v>
      </c>
    </row>
    <row r="71" spans="1:8" ht="27" customHeight="1" thickBot="1" x14ac:dyDescent="0.45">
      <c r="A71" s="292"/>
      <c r="B71" s="293"/>
      <c r="C71" s="282"/>
      <c r="D71" s="281"/>
      <c r="E71" s="174">
        <v>4</v>
      </c>
      <c r="F71" s="175"/>
      <c r="G71" s="248" t="str">
        <f>IF(ISBLANK(F71),"-",(F71/$D$50*$D$47*$B$68)*($B$57/$D$68))</f>
        <v>-</v>
      </c>
      <c r="H71" s="181" t="str">
        <f t="shared" si="0"/>
        <v>-</v>
      </c>
    </row>
    <row r="72" spans="1:8" ht="26.25" customHeight="1" x14ac:dyDescent="0.4">
      <c r="A72" s="203"/>
      <c r="B72" s="203"/>
      <c r="C72" s="203"/>
      <c r="D72" s="203"/>
      <c r="E72" s="203"/>
      <c r="F72" s="182" t="s">
        <v>71</v>
      </c>
      <c r="G72" s="253">
        <f>AVERAGE(G60:G71)</f>
        <v>73.894904784213907</v>
      </c>
      <c r="H72" s="183">
        <f>AVERAGE(H60:H71)</f>
        <v>0.98526539712285222</v>
      </c>
    </row>
    <row r="73" spans="1:8" ht="26.25" customHeight="1" x14ac:dyDescent="0.4">
      <c r="C73" s="203"/>
      <c r="D73" s="203"/>
      <c r="E73" s="203"/>
      <c r="F73" s="184" t="s">
        <v>84</v>
      </c>
      <c r="G73" s="249">
        <f>STDEV(G60:G71)/G72</f>
        <v>1.2616178797176398E-2</v>
      </c>
      <c r="H73" s="249">
        <f>STDEV(H60:H71)/H72</f>
        <v>1.2616178797176409E-2</v>
      </c>
    </row>
    <row r="74" spans="1:8" ht="27" customHeight="1" thickBot="1" x14ac:dyDescent="0.45">
      <c r="A74" s="203"/>
      <c r="B74" s="203"/>
      <c r="C74" s="203"/>
      <c r="D74" s="203"/>
      <c r="E74" s="185"/>
      <c r="F74" s="186" t="s">
        <v>20</v>
      </c>
      <c r="G74" s="187">
        <f>COUNT(G60:G71)</f>
        <v>9</v>
      </c>
      <c r="H74" s="187">
        <f>COUNT(H60:H71)</f>
        <v>9</v>
      </c>
    </row>
    <row r="76" spans="1:8" ht="26.25" customHeight="1" x14ac:dyDescent="0.4">
      <c r="A76" s="237" t="s">
        <v>106</v>
      </c>
      <c r="B76" s="195" t="s">
        <v>107</v>
      </c>
      <c r="C76" s="272" t="str">
        <f>B20</f>
        <v>Isoniazid</v>
      </c>
      <c r="D76" s="272"/>
      <c r="E76" s="188" t="s">
        <v>108</v>
      </c>
      <c r="F76" s="188"/>
      <c r="G76" s="189">
        <f>H72</f>
        <v>0.98526539712285222</v>
      </c>
      <c r="H76" s="260"/>
    </row>
    <row r="77" spans="1:8" ht="18.75" x14ac:dyDescent="0.3">
      <c r="A77" s="103" t="s">
        <v>109</v>
      </c>
      <c r="B77" s="103" t="s">
        <v>110</v>
      </c>
    </row>
    <row r="78" spans="1:8" ht="18.75" x14ac:dyDescent="0.3">
      <c r="A78" s="103"/>
      <c r="B78" s="103"/>
    </row>
    <row r="79" spans="1:8" ht="26.25" customHeight="1" x14ac:dyDescent="0.4">
      <c r="A79" s="237" t="s">
        <v>4</v>
      </c>
      <c r="B79" s="283" t="str">
        <f>B26</f>
        <v>Isoniazid</v>
      </c>
      <c r="C79" s="283"/>
    </row>
    <row r="80" spans="1:8" ht="26.25" customHeight="1" x14ac:dyDescent="0.4">
      <c r="A80" s="195" t="s">
        <v>48</v>
      </c>
      <c r="B80" s="283" t="str">
        <f>B27</f>
        <v>I8-2</v>
      </c>
      <c r="C80" s="283"/>
    </row>
    <row r="81" spans="1:12" ht="27" customHeight="1" thickBot="1" x14ac:dyDescent="0.45">
      <c r="A81" s="195" t="s">
        <v>6</v>
      </c>
      <c r="B81" s="190">
        <f>B28</f>
        <v>98.5</v>
      </c>
    </row>
    <row r="82" spans="1:12" s="16" customFormat="1" ht="27" customHeight="1" thickBot="1" x14ac:dyDescent="0.45">
      <c r="A82" s="195" t="s">
        <v>49</v>
      </c>
      <c r="B82" s="104">
        <v>0</v>
      </c>
      <c r="C82" s="284" t="s">
        <v>50</v>
      </c>
      <c r="D82" s="285"/>
      <c r="E82" s="285"/>
      <c r="F82" s="285"/>
      <c r="G82" s="286"/>
      <c r="I82" s="105"/>
      <c r="J82" s="105"/>
      <c r="K82" s="105"/>
      <c r="L82" s="105"/>
    </row>
    <row r="83" spans="1:12" s="16" customFormat="1" ht="19.5" customHeight="1" thickBot="1" x14ac:dyDescent="0.35">
      <c r="A83" s="195" t="s">
        <v>51</v>
      </c>
      <c r="B83" s="260">
        <f>B81-B82</f>
        <v>98.5</v>
      </c>
      <c r="C83" s="106"/>
      <c r="D83" s="106"/>
      <c r="E83" s="106"/>
      <c r="F83" s="106"/>
      <c r="G83" s="107"/>
      <c r="I83" s="105"/>
      <c r="J83" s="105"/>
      <c r="K83" s="105"/>
      <c r="L83" s="105"/>
    </row>
    <row r="84" spans="1:12" s="16" customFormat="1" ht="27" customHeight="1" thickBot="1" x14ac:dyDescent="0.45">
      <c r="A84" s="195" t="s">
        <v>52</v>
      </c>
      <c r="B84" s="108">
        <v>1</v>
      </c>
      <c r="C84" s="287" t="s">
        <v>111</v>
      </c>
      <c r="D84" s="288"/>
      <c r="E84" s="288"/>
      <c r="F84" s="288"/>
      <c r="G84" s="288"/>
      <c r="H84" s="289"/>
      <c r="I84" s="105"/>
      <c r="J84" s="105"/>
      <c r="K84" s="105"/>
      <c r="L84" s="105"/>
    </row>
    <row r="85" spans="1:12" s="16" customFormat="1" ht="27" customHeight="1" thickBot="1" x14ac:dyDescent="0.45">
      <c r="A85" s="195" t="s">
        <v>54</v>
      </c>
      <c r="B85" s="108">
        <v>1</v>
      </c>
      <c r="C85" s="287" t="s">
        <v>112</v>
      </c>
      <c r="D85" s="288"/>
      <c r="E85" s="288"/>
      <c r="F85" s="288"/>
      <c r="G85" s="288"/>
      <c r="H85" s="289"/>
      <c r="I85" s="105"/>
      <c r="J85" s="105"/>
      <c r="K85" s="105"/>
      <c r="L85" s="105"/>
    </row>
    <row r="86" spans="1:12" s="16" customFormat="1" ht="18.75" x14ac:dyDescent="0.3">
      <c r="A86" s="195"/>
      <c r="B86" s="111"/>
      <c r="C86" s="112"/>
      <c r="D86" s="112"/>
      <c r="E86" s="112"/>
      <c r="F86" s="112"/>
      <c r="G86" s="112"/>
      <c r="H86" s="112"/>
      <c r="I86" s="105"/>
      <c r="J86" s="105"/>
      <c r="K86" s="105"/>
      <c r="L86" s="105"/>
    </row>
    <row r="87" spans="1:12" s="16" customFormat="1" ht="18.75" x14ac:dyDescent="0.3">
      <c r="A87" s="195" t="s">
        <v>56</v>
      </c>
      <c r="B87" s="113">
        <f>B84/B85</f>
        <v>1</v>
      </c>
      <c r="C87" s="188" t="s">
        <v>57</v>
      </c>
      <c r="D87" s="188"/>
      <c r="E87" s="188"/>
      <c r="F87" s="188"/>
      <c r="G87" s="188"/>
      <c r="I87" s="105"/>
      <c r="J87" s="105"/>
      <c r="K87" s="105"/>
      <c r="L87" s="105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4" t="s">
        <v>58</v>
      </c>
      <c r="B89" s="115">
        <v>100</v>
      </c>
      <c r="D89" s="258" t="s">
        <v>59</v>
      </c>
      <c r="E89" s="259"/>
      <c r="F89" s="274" t="s">
        <v>60</v>
      </c>
      <c r="G89" s="275"/>
    </row>
    <row r="90" spans="1:12" ht="27" customHeight="1" thickBot="1" x14ac:dyDescent="0.45">
      <c r="A90" s="116" t="s">
        <v>61</v>
      </c>
      <c r="B90" s="117">
        <v>1</v>
      </c>
      <c r="C90" s="261" t="s">
        <v>62</v>
      </c>
      <c r="D90" s="119" t="s">
        <v>63</v>
      </c>
      <c r="E90" s="120" t="s">
        <v>64</v>
      </c>
      <c r="F90" s="119" t="s">
        <v>63</v>
      </c>
      <c r="G90" s="191" t="s">
        <v>64</v>
      </c>
      <c r="I90" s="122" t="s">
        <v>65</v>
      </c>
    </row>
    <row r="91" spans="1:12" ht="26.25" customHeight="1" x14ac:dyDescent="0.4">
      <c r="A91" s="116" t="s">
        <v>66</v>
      </c>
      <c r="B91" s="117">
        <v>1</v>
      </c>
      <c r="C91" s="192">
        <v>1</v>
      </c>
      <c r="D91" s="124">
        <v>28837304</v>
      </c>
      <c r="E91" s="125">
        <f>IF(ISBLANK(D91),"-",$D$101/$D$98*D91)</f>
        <v>27137978.088080566</v>
      </c>
      <c r="F91" s="124">
        <v>28460634</v>
      </c>
      <c r="G91" s="126">
        <f>IF(ISBLANK(F91),"-",$D$101/$F$98*F91)</f>
        <v>27933144.499275677</v>
      </c>
      <c r="I91" s="127"/>
    </row>
    <row r="92" spans="1:12" ht="26.25" customHeight="1" x14ac:dyDescent="0.4">
      <c r="A92" s="116" t="s">
        <v>67</v>
      </c>
      <c r="B92" s="117">
        <v>1</v>
      </c>
      <c r="C92" s="203">
        <v>2</v>
      </c>
      <c r="D92" s="128">
        <v>29524004</v>
      </c>
      <c r="E92" s="129">
        <f>IF(ISBLANK(D92),"-",$D$101/$D$98*D92)</f>
        <v>27784212.200433265</v>
      </c>
      <c r="F92" s="128">
        <v>28504588</v>
      </c>
      <c r="G92" s="130">
        <f>IF(ISBLANK(F92),"-",$D$101/$F$98*F92)</f>
        <v>27976283.855669536</v>
      </c>
      <c r="I92" s="265">
        <f>ABS((F96/D96*D95)-F95)/D95</f>
        <v>8.2946075206946739E-3</v>
      </c>
    </row>
    <row r="93" spans="1:12" ht="26.25" customHeight="1" x14ac:dyDescent="0.4">
      <c r="A93" s="116" t="s">
        <v>68</v>
      </c>
      <c r="B93" s="117">
        <v>1</v>
      </c>
      <c r="C93" s="203">
        <v>3</v>
      </c>
      <c r="D93" s="128">
        <v>29975932</v>
      </c>
      <c r="E93" s="129">
        <f>IF(ISBLANK(D93),"-",$D$101/$D$98*D93)</f>
        <v>28209508.967474665</v>
      </c>
      <c r="F93" s="128">
        <v>28469059</v>
      </c>
      <c r="G93" s="130">
        <f>IF(ISBLANK(F93),"-",$D$101/$F$98*F93)</f>
        <v>27941413.350293066</v>
      </c>
      <c r="I93" s="265"/>
    </row>
    <row r="94" spans="1:12" ht="27" customHeight="1" thickBot="1" x14ac:dyDescent="0.45">
      <c r="A94" s="116" t="s">
        <v>69</v>
      </c>
      <c r="B94" s="117">
        <v>1</v>
      </c>
      <c r="C94" s="193">
        <v>4</v>
      </c>
      <c r="D94" s="132"/>
      <c r="E94" s="133" t="str">
        <f>IF(ISBLANK(D94),"-",$D$101/$D$98*D94)</f>
        <v>-</v>
      </c>
      <c r="F94" s="194"/>
      <c r="G94" s="134" t="str">
        <f>IF(ISBLANK(F94),"-",$D$101/$F$98*F94)</f>
        <v>-</v>
      </c>
      <c r="I94" s="135"/>
    </row>
    <row r="95" spans="1:12" ht="27" customHeight="1" thickBot="1" x14ac:dyDescent="0.45">
      <c r="A95" s="116" t="s">
        <v>70</v>
      </c>
      <c r="B95" s="117">
        <v>1</v>
      </c>
      <c r="C95" s="195" t="s">
        <v>71</v>
      </c>
      <c r="D95" s="196">
        <f>AVERAGE(D91:D94)</f>
        <v>29445746.666666668</v>
      </c>
      <c r="E95" s="138">
        <f>AVERAGE(E91:E94)</f>
        <v>27710566.418662831</v>
      </c>
      <c r="F95" s="197">
        <f>AVERAGE(F91:F94)</f>
        <v>28478093.666666668</v>
      </c>
      <c r="G95" s="198">
        <f>AVERAGE(G91:G94)</f>
        <v>27950280.568412762</v>
      </c>
    </row>
    <row r="96" spans="1:12" ht="26.25" customHeight="1" x14ac:dyDescent="0.4">
      <c r="A96" s="116" t="s">
        <v>72</v>
      </c>
      <c r="B96" s="190">
        <v>1</v>
      </c>
      <c r="C96" s="199" t="s">
        <v>113</v>
      </c>
      <c r="D96" s="200">
        <v>8.99</v>
      </c>
      <c r="E96" s="188"/>
      <c r="F96" s="142">
        <v>8.6199999999999992</v>
      </c>
    </row>
    <row r="97" spans="1:10" ht="26.25" customHeight="1" x14ac:dyDescent="0.4">
      <c r="A97" s="116" t="s">
        <v>74</v>
      </c>
      <c r="B97" s="190">
        <v>1</v>
      </c>
      <c r="C97" s="201" t="s">
        <v>114</v>
      </c>
      <c r="D97" s="202">
        <f>D96*$B$87</f>
        <v>8.99</v>
      </c>
      <c r="E97" s="203"/>
      <c r="F97" s="144">
        <f>F96*$B$87</f>
        <v>8.6199999999999992</v>
      </c>
    </row>
    <row r="98" spans="1:10" ht="19.5" customHeight="1" thickBot="1" x14ac:dyDescent="0.35">
      <c r="A98" s="116" t="s">
        <v>76</v>
      </c>
      <c r="B98" s="203">
        <f>(B97/B96)*(B95/B94)*(B93/B92)*(B91/B90)*B89</f>
        <v>100</v>
      </c>
      <c r="C98" s="201" t="s">
        <v>115</v>
      </c>
      <c r="D98" s="204">
        <f>D97*$B$83/100</f>
        <v>8.8551500000000001</v>
      </c>
      <c r="E98" s="185"/>
      <c r="F98" s="146">
        <f>F97*$B$83/100</f>
        <v>8.4906999999999986</v>
      </c>
    </row>
    <row r="99" spans="1:10" ht="19.5" customHeight="1" thickBot="1" x14ac:dyDescent="0.35">
      <c r="A99" s="266" t="s">
        <v>78</v>
      </c>
      <c r="B99" s="267"/>
      <c r="C99" s="201" t="s">
        <v>116</v>
      </c>
      <c r="D99" s="205">
        <f>D98/$B$98</f>
        <v>8.8551500000000005E-2</v>
      </c>
      <c r="E99" s="185"/>
      <c r="F99" s="149">
        <f>F98/$B$98</f>
        <v>8.4906999999999982E-2</v>
      </c>
      <c r="H99" s="140"/>
    </row>
    <row r="100" spans="1:10" ht="19.5" customHeight="1" thickBot="1" x14ac:dyDescent="0.35">
      <c r="A100" s="268"/>
      <c r="B100" s="269"/>
      <c r="C100" s="201" t="s">
        <v>80</v>
      </c>
      <c r="D100" s="207">
        <f>$B$56/$B$116</f>
        <v>8.3333333333333329E-2</v>
      </c>
      <c r="F100" s="154"/>
      <c r="G100" s="213"/>
      <c r="H100" s="140"/>
    </row>
    <row r="101" spans="1:10" ht="18.75" x14ac:dyDescent="0.3">
      <c r="C101" s="201" t="s">
        <v>81</v>
      </c>
      <c r="D101" s="202">
        <f>D100*$B$98</f>
        <v>8.3333333333333321</v>
      </c>
      <c r="F101" s="154"/>
      <c r="H101" s="140"/>
    </row>
    <row r="102" spans="1:10" ht="19.5" customHeight="1" thickBot="1" x14ac:dyDescent="0.35">
      <c r="C102" s="208" t="s">
        <v>82</v>
      </c>
      <c r="D102" s="209">
        <f>D101/B34</f>
        <v>8.3333333333333321</v>
      </c>
      <c r="F102" s="158"/>
      <c r="H102" s="140"/>
      <c r="J102" s="210"/>
    </row>
    <row r="103" spans="1:10" ht="18.75" x14ac:dyDescent="0.3">
      <c r="C103" s="211" t="s">
        <v>117</v>
      </c>
      <c r="D103" s="212">
        <f>AVERAGE(E91:E94,G91:G94)</f>
        <v>27830423.493537795</v>
      </c>
      <c r="F103" s="158"/>
      <c r="G103" s="213"/>
      <c r="H103" s="140"/>
      <c r="J103" s="214"/>
    </row>
    <row r="104" spans="1:10" ht="18.75" x14ac:dyDescent="0.3">
      <c r="C104" s="184" t="s">
        <v>84</v>
      </c>
      <c r="D104" s="215">
        <f>STDEV(E91:E94,G91:G94)/D103</f>
        <v>1.3148007345296236E-2</v>
      </c>
      <c r="F104" s="158"/>
      <c r="H104" s="140"/>
      <c r="J104" s="214"/>
    </row>
    <row r="105" spans="1:10" ht="19.5" customHeight="1" thickBot="1" x14ac:dyDescent="0.35">
      <c r="C105" s="186" t="s">
        <v>20</v>
      </c>
      <c r="D105" s="216">
        <f>COUNT(E91:E94,G91:G94)</f>
        <v>6</v>
      </c>
      <c r="F105" s="158"/>
      <c r="H105" s="140"/>
      <c r="J105" s="214"/>
    </row>
    <row r="106" spans="1:10" ht="19.5" customHeight="1" thickBot="1" x14ac:dyDescent="0.35">
      <c r="A106" s="162"/>
      <c r="B106" s="162"/>
      <c r="C106" s="162"/>
      <c r="D106" s="162"/>
      <c r="E106" s="162"/>
    </row>
    <row r="107" spans="1:10" ht="26.25" customHeight="1" x14ac:dyDescent="0.4">
      <c r="A107" s="114" t="s">
        <v>118</v>
      </c>
      <c r="B107" s="115">
        <v>900</v>
      </c>
      <c r="C107" s="258" t="s">
        <v>119</v>
      </c>
      <c r="D107" s="217" t="s">
        <v>63</v>
      </c>
      <c r="E107" s="218" t="s">
        <v>120</v>
      </c>
      <c r="F107" s="219" t="s">
        <v>121</v>
      </c>
    </row>
    <row r="108" spans="1:10" ht="26.25" customHeight="1" x14ac:dyDescent="0.4">
      <c r="A108" s="116" t="s">
        <v>122</v>
      </c>
      <c r="B108" s="117">
        <v>1</v>
      </c>
      <c r="C108" s="220">
        <v>1</v>
      </c>
      <c r="D108" s="221">
        <v>27534377</v>
      </c>
      <c r="E108" s="250">
        <f t="shared" ref="E108:E113" si="1">IF(ISBLANK(D108),"-",D108/$D$103*$D$100*$B$116)</f>
        <v>74.202186520068935</v>
      </c>
      <c r="F108" s="222">
        <f t="shared" ref="F108:F113" si="2">IF(ISBLANK(D108), "-", E108/$B$56)</f>
        <v>0.98936248693425244</v>
      </c>
    </row>
    <row r="109" spans="1:10" ht="26.25" customHeight="1" x14ac:dyDescent="0.4">
      <c r="A109" s="116" t="s">
        <v>95</v>
      </c>
      <c r="B109" s="117">
        <v>1</v>
      </c>
      <c r="C109" s="220">
        <v>2</v>
      </c>
      <c r="D109" s="221">
        <v>30461123</v>
      </c>
      <c r="E109" s="251">
        <f t="shared" si="1"/>
        <v>82.089452412769731</v>
      </c>
      <c r="F109" s="223">
        <f t="shared" si="2"/>
        <v>1.094526032170263</v>
      </c>
    </row>
    <row r="110" spans="1:10" ht="26.25" customHeight="1" x14ac:dyDescent="0.4">
      <c r="A110" s="116" t="s">
        <v>96</v>
      </c>
      <c r="B110" s="117">
        <v>1</v>
      </c>
      <c r="C110" s="220">
        <v>3</v>
      </c>
      <c r="D110" s="221">
        <v>30192224</v>
      </c>
      <c r="E110" s="251">
        <f t="shared" si="1"/>
        <v>81.364798510011752</v>
      </c>
      <c r="F110" s="223">
        <f t="shared" si="2"/>
        <v>1.0848639801334901</v>
      </c>
    </row>
    <row r="111" spans="1:10" ht="26.25" customHeight="1" x14ac:dyDescent="0.4">
      <c r="A111" s="116" t="s">
        <v>97</v>
      </c>
      <c r="B111" s="117">
        <v>1</v>
      </c>
      <c r="C111" s="220">
        <v>4</v>
      </c>
      <c r="D111" s="221">
        <v>30082935</v>
      </c>
      <c r="E111" s="251">
        <f t="shared" si="1"/>
        <v>81.07027640179075</v>
      </c>
      <c r="F111" s="223">
        <f t="shared" si="2"/>
        <v>1.0809370186905434</v>
      </c>
    </row>
    <row r="112" spans="1:10" ht="26.25" customHeight="1" x14ac:dyDescent="0.4">
      <c r="A112" s="116" t="s">
        <v>98</v>
      </c>
      <c r="B112" s="117">
        <v>1</v>
      </c>
      <c r="C112" s="220">
        <v>5</v>
      </c>
      <c r="D112" s="221">
        <v>27572490</v>
      </c>
      <c r="E112" s="251">
        <f t="shared" si="1"/>
        <v>74.304896958545143</v>
      </c>
      <c r="F112" s="223">
        <f t="shared" si="2"/>
        <v>0.99073195944726855</v>
      </c>
    </row>
    <row r="113" spans="1:10" ht="26.25" customHeight="1" x14ac:dyDescent="0.4">
      <c r="A113" s="116" t="s">
        <v>100</v>
      </c>
      <c r="B113" s="117">
        <v>1</v>
      </c>
      <c r="C113" s="224">
        <v>6</v>
      </c>
      <c r="D113" s="225">
        <v>30104201</v>
      </c>
      <c r="E113" s="252">
        <f t="shared" si="1"/>
        <v>81.127585986043755</v>
      </c>
      <c r="F113" s="226">
        <f t="shared" si="2"/>
        <v>1.0817011464805835</v>
      </c>
    </row>
    <row r="114" spans="1:10" ht="26.25" customHeight="1" x14ac:dyDescent="0.4">
      <c r="A114" s="116" t="s">
        <v>101</v>
      </c>
      <c r="B114" s="117">
        <v>1</v>
      </c>
      <c r="C114" s="220"/>
      <c r="D114" s="203"/>
      <c r="E114" s="188"/>
      <c r="F114" s="227"/>
    </row>
    <row r="115" spans="1:10" ht="26.25" customHeight="1" x14ac:dyDescent="0.4">
      <c r="A115" s="116" t="s">
        <v>102</v>
      </c>
      <c r="B115" s="117">
        <v>1</v>
      </c>
      <c r="C115" s="220"/>
      <c r="D115" s="228" t="s">
        <v>71</v>
      </c>
      <c r="E115" s="254">
        <f>AVERAGE(E108:E113)</f>
        <v>79.026532798205011</v>
      </c>
      <c r="F115" s="229">
        <f>AVERAGE(F108:F113)</f>
        <v>1.0536871039760667</v>
      </c>
    </row>
    <row r="116" spans="1:10" ht="27" customHeight="1" thickBot="1" x14ac:dyDescent="0.45">
      <c r="A116" s="116" t="s">
        <v>103</v>
      </c>
      <c r="B116" s="145">
        <f>(B115/B114)*(B113/B112)*(B111/B110)*(B109/B108)*B107</f>
        <v>900</v>
      </c>
      <c r="C116" s="230"/>
      <c r="D116" s="195" t="s">
        <v>84</v>
      </c>
      <c r="E116" s="231">
        <f>STDEV(E108:E113)/E115</f>
        <v>4.7010315605105185E-2</v>
      </c>
      <c r="F116" s="231">
        <f>STDEV(F108:F113)/F115</f>
        <v>4.7010315605105206E-2</v>
      </c>
      <c r="I116" s="188"/>
    </row>
    <row r="117" spans="1:10" ht="27" customHeight="1" thickBot="1" x14ac:dyDescent="0.45">
      <c r="A117" s="266" t="s">
        <v>78</v>
      </c>
      <c r="B117" s="270"/>
      <c r="C117" s="232"/>
      <c r="D117" s="233" t="s">
        <v>20</v>
      </c>
      <c r="E117" s="234">
        <f>COUNT(E108:E113)</f>
        <v>6</v>
      </c>
      <c r="F117" s="234">
        <f>COUNT(F108:F113)</f>
        <v>6</v>
      </c>
      <c r="I117" s="188"/>
      <c r="J117" s="214"/>
    </row>
    <row r="118" spans="1:10" ht="19.5" customHeight="1" thickBot="1" x14ac:dyDescent="0.35">
      <c r="A118" s="268"/>
      <c r="B118" s="271"/>
      <c r="C118" s="188"/>
      <c r="D118" s="188"/>
      <c r="E118" s="188"/>
      <c r="F118" s="203"/>
      <c r="G118" s="188"/>
      <c r="H118" s="188"/>
      <c r="I118" s="188"/>
    </row>
    <row r="119" spans="1:10" ht="18.75" x14ac:dyDescent="0.3">
      <c r="A119" s="241"/>
      <c r="B119" s="112"/>
      <c r="C119" s="188"/>
      <c r="D119" s="188"/>
      <c r="E119" s="188"/>
      <c r="F119" s="203"/>
      <c r="G119" s="188"/>
      <c r="H119" s="188"/>
      <c r="I119" s="188"/>
    </row>
    <row r="120" spans="1:10" ht="26.25" customHeight="1" x14ac:dyDescent="0.4">
      <c r="A120" s="237" t="s">
        <v>106</v>
      </c>
      <c r="B120" s="195" t="s">
        <v>123</v>
      </c>
      <c r="C120" s="272" t="str">
        <f>B20</f>
        <v>Isoniazid</v>
      </c>
      <c r="D120" s="272"/>
      <c r="E120" s="188" t="s">
        <v>124</v>
      </c>
      <c r="F120" s="188"/>
      <c r="G120" s="189">
        <f>F115</f>
        <v>1.0536871039760667</v>
      </c>
      <c r="H120" s="188"/>
      <c r="I120" s="188"/>
    </row>
    <row r="121" spans="1:10" ht="19.5" customHeight="1" thickBot="1" x14ac:dyDescent="0.35">
      <c r="A121" s="262"/>
      <c r="B121" s="262"/>
      <c r="C121" s="235"/>
      <c r="D121" s="235"/>
      <c r="E121" s="235"/>
      <c r="F121" s="235"/>
      <c r="G121" s="235"/>
      <c r="H121" s="235"/>
    </row>
    <row r="122" spans="1:10" ht="18.75" x14ac:dyDescent="0.3">
      <c r="B122" s="273" t="s">
        <v>26</v>
      </c>
      <c r="C122" s="273"/>
      <c r="E122" s="261" t="s">
        <v>27</v>
      </c>
      <c r="F122" s="236"/>
      <c r="G122" s="273" t="s">
        <v>28</v>
      </c>
      <c r="H122" s="273"/>
    </row>
    <row r="123" spans="1:10" ht="69.95" customHeight="1" x14ac:dyDescent="0.3">
      <c r="A123" s="237" t="s">
        <v>29</v>
      </c>
      <c r="B123" s="238"/>
      <c r="C123" s="238"/>
      <c r="E123" s="238"/>
      <c r="F123" s="188"/>
      <c r="G123" s="238"/>
      <c r="H123" s="238"/>
    </row>
    <row r="124" spans="1:10" ht="69.95" customHeight="1" x14ac:dyDescent="0.3">
      <c r="A124" s="237" t="s">
        <v>30</v>
      </c>
      <c r="B124" s="239"/>
      <c r="C124" s="239"/>
      <c r="E124" s="239"/>
      <c r="F124" s="188"/>
      <c r="G124" s="240"/>
      <c r="H124" s="240"/>
    </row>
    <row r="125" spans="1:10" ht="18.75" x14ac:dyDescent="0.3">
      <c r="A125" s="203"/>
      <c r="B125" s="203"/>
      <c r="C125" s="203"/>
      <c r="D125" s="203"/>
      <c r="E125" s="203"/>
      <c r="F125" s="185"/>
      <c r="G125" s="203"/>
      <c r="H125" s="203"/>
      <c r="I125" s="188"/>
    </row>
    <row r="126" spans="1:10" ht="18.75" x14ac:dyDescent="0.3">
      <c r="A126" s="203"/>
      <c r="B126" s="203"/>
      <c r="C126" s="203"/>
      <c r="D126" s="203"/>
      <c r="E126" s="203"/>
      <c r="F126" s="185"/>
      <c r="G126" s="203"/>
      <c r="H126" s="203"/>
      <c r="I126" s="188"/>
    </row>
    <row r="127" spans="1:10" ht="18.75" x14ac:dyDescent="0.3">
      <c r="A127" s="203"/>
      <c r="B127" s="203"/>
      <c r="C127" s="203"/>
      <c r="D127" s="203"/>
      <c r="E127" s="203"/>
      <c r="F127" s="185"/>
      <c r="G127" s="203"/>
      <c r="H127" s="203"/>
      <c r="I127" s="188"/>
    </row>
    <row r="128" spans="1:10" ht="18.75" x14ac:dyDescent="0.3">
      <c r="A128" s="203"/>
      <c r="B128" s="203"/>
      <c r="C128" s="203"/>
      <c r="D128" s="203"/>
      <c r="E128" s="203"/>
      <c r="F128" s="185"/>
      <c r="G128" s="203"/>
      <c r="H128" s="203"/>
      <c r="I128" s="188"/>
    </row>
    <row r="129" spans="1:9" ht="18.75" x14ac:dyDescent="0.3">
      <c r="A129" s="203"/>
      <c r="B129" s="203"/>
      <c r="C129" s="203"/>
      <c r="D129" s="203"/>
      <c r="E129" s="203"/>
      <c r="F129" s="185"/>
      <c r="G129" s="203"/>
      <c r="H129" s="203"/>
      <c r="I129" s="188"/>
    </row>
    <row r="130" spans="1:9" ht="18.75" x14ac:dyDescent="0.3">
      <c r="A130" s="203"/>
      <c r="B130" s="203"/>
      <c r="C130" s="203"/>
      <c r="D130" s="203"/>
      <c r="E130" s="203"/>
      <c r="F130" s="185"/>
      <c r="G130" s="203"/>
      <c r="H130" s="203"/>
      <c r="I130" s="188"/>
    </row>
    <row r="131" spans="1:9" ht="18.75" x14ac:dyDescent="0.3">
      <c r="A131" s="203"/>
      <c r="B131" s="203"/>
      <c r="C131" s="203"/>
      <c r="D131" s="203"/>
      <c r="E131" s="203"/>
      <c r="F131" s="185"/>
      <c r="G131" s="203"/>
      <c r="H131" s="203"/>
      <c r="I131" s="188"/>
    </row>
    <row r="132" spans="1:9" ht="18.75" x14ac:dyDescent="0.3">
      <c r="A132" s="203"/>
      <c r="B132" s="203"/>
      <c r="C132" s="203"/>
      <c r="D132" s="203"/>
      <c r="E132" s="203"/>
      <c r="F132" s="185"/>
      <c r="G132" s="203"/>
      <c r="H132" s="203"/>
      <c r="I132" s="188"/>
    </row>
    <row r="133" spans="1:9" ht="18.75" x14ac:dyDescent="0.3">
      <c r="A133" s="203"/>
      <c r="B133" s="203"/>
      <c r="C133" s="203"/>
      <c r="D133" s="203"/>
      <c r="E133" s="203"/>
      <c r="F133" s="185"/>
      <c r="G133" s="203"/>
      <c r="H133" s="203"/>
      <c r="I133" s="188"/>
    </row>
    <row r="250" spans="1:1" x14ac:dyDescent="0.25">
      <c r="A250" s="20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Rifampicin</vt:lpstr>
      <vt:lpstr>Rifampicin </vt:lpstr>
      <vt:lpstr>Uniformity</vt:lpstr>
      <vt:lpstr>SST Isoniazid</vt:lpstr>
      <vt:lpstr>Isoniazid </vt:lpstr>
      <vt:lpstr>'Isoniazid '!Print_Area</vt:lpstr>
      <vt:lpstr>'Rifampicin '!Print_Area</vt:lpstr>
      <vt:lpstr>'SST Isoniazid'!Print_Area</vt:lpstr>
      <vt:lpstr>'SST Rifampicin'!Print_Area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2016-06-17T08:30:47Z</cp:lastPrinted>
  <dcterms:created xsi:type="dcterms:W3CDTF">2005-07-05T10:19:27Z</dcterms:created>
  <dcterms:modified xsi:type="dcterms:W3CDTF">2016-06-20T08:35:52Z</dcterms:modified>
</cp:coreProperties>
</file>