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2"/>
  </bookViews>
  <sheets>
    <sheet name="SST Rifampicin" sheetId="1" r:id="rId1"/>
    <sheet name="Uniformity" sheetId="2" r:id="rId2"/>
    <sheet name="Rifampicin" sheetId="3" r:id="rId3"/>
    <sheet name="SST Isoniazid" sheetId="5" r:id="rId4"/>
    <sheet name="Isoniazid" sheetId="4" r:id="rId5"/>
  </sheets>
  <definedNames>
    <definedName name="_xlnm.Print_Area" localSheetId="4">Isoniazid!$A$1:$I$127</definedName>
    <definedName name="_xlnm.Print_Area" localSheetId="2">Rifampicin!$A$1:$I$125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15" i="3" l="1"/>
  <c r="F113" i="3"/>
  <c r="F112" i="3"/>
  <c r="F111" i="3"/>
  <c r="F110" i="3"/>
  <c r="F109" i="3"/>
  <c r="F108" i="3"/>
  <c r="D56" i="3"/>
  <c r="F113" i="4"/>
  <c r="F112" i="4"/>
  <c r="F111" i="4"/>
  <c r="F110" i="4"/>
  <c r="F109" i="4"/>
  <c r="F108" i="4"/>
  <c r="D100" i="4"/>
  <c r="G60" i="4"/>
  <c r="D57" i="4"/>
  <c r="B21" i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0" i="4" l="1"/>
  <c r="B116" i="4"/>
  <c r="B98" i="4"/>
  <c r="F95" i="4"/>
  <c r="D95" i="4"/>
  <c r="B87" i="4"/>
  <c r="F97" i="4" s="1"/>
  <c r="B83" i="4"/>
  <c r="B80" i="4"/>
  <c r="B79" i="4"/>
  <c r="C76" i="4"/>
  <c r="B68" i="4"/>
  <c r="C56" i="4"/>
  <c r="B55" i="4"/>
  <c r="B45" i="4"/>
  <c r="D48" i="4" s="1"/>
  <c r="D49" i="4" s="1"/>
  <c r="F44" i="4"/>
  <c r="F42" i="4"/>
  <c r="D42" i="4"/>
  <c r="I39" i="4" s="1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4" l="1"/>
  <c r="E40" i="4" s="1"/>
  <c r="F45" i="4"/>
  <c r="F46" i="4" s="1"/>
  <c r="I92" i="4"/>
  <c r="D101" i="4"/>
  <c r="D102" i="4" s="1"/>
  <c r="I92" i="3"/>
  <c r="D101" i="3"/>
  <c r="D102" i="3" s="1"/>
  <c r="I39" i="3"/>
  <c r="D45" i="3"/>
  <c r="D46" i="3" s="1"/>
  <c r="D49" i="3"/>
  <c r="F44" i="3"/>
  <c r="F45" i="3" s="1"/>
  <c r="G40" i="3" s="1"/>
  <c r="E38" i="3"/>
  <c r="E39" i="3"/>
  <c r="F98" i="4"/>
  <c r="F99" i="4" s="1"/>
  <c r="F98" i="3"/>
  <c r="F99" i="3" s="1"/>
  <c r="D46" i="4"/>
  <c r="E39" i="4"/>
  <c r="G41" i="4"/>
  <c r="D43" i="2"/>
  <c r="C49" i="2"/>
  <c r="D24" i="2"/>
  <c r="D28" i="2"/>
  <c r="D32" i="2"/>
  <c r="D36" i="2"/>
  <c r="D40" i="2"/>
  <c r="D49" i="2"/>
  <c r="E41" i="3"/>
  <c r="B57" i="3"/>
  <c r="B69" i="3" s="1"/>
  <c r="E41" i="4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G38" i="3"/>
  <c r="E40" i="3"/>
  <c r="E38" i="4" l="1"/>
  <c r="E42" i="4" s="1"/>
  <c r="G38" i="4"/>
  <c r="G40" i="4"/>
  <c r="G39" i="4"/>
  <c r="E91" i="4"/>
  <c r="E92" i="4"/>
  <c r="G41" i="3"/>
  <c r="D50" i="3" s="1"/>
  <c r="F46" i="3"/>
  <c r="G39" i="3"/>
  <c r="G92" i="3"/>
  <c r="G91" i="3"/>
  <c r="E42" i="3"/>
  <c r="G94" i="4"/>
  <c r="G93" i="4"/>
  <c r="G94" i="3"/>
  <c r="E94" i="3"/>
  <c r="E93" i="3"/>
  <c r="G92" i="4"/>
  <c r="G91" i="4"/>
  <c r="G93" i="3"/>
  <c r="E91" i="3"/>
  <c r="E92" i="3"/>
  <c r="E94" i="4"/>
  <c r="E93" i="4"/>
  <c r="D50" i="4" l="1"/>
  <c r="G68" i="4" s="1"/>
  <c r="H68" i="4" s="1"/>
  <c r="D52" i="4"/>
  <c r="G42" i="4"/>
  <c r="D103" i="4"/>
  <c r="E108" i="4" s="1"/>
  <c r="G95" i="4"/>
  <c r="E95" i="4"/>
  <c r="D105" i="4"/>
  <c r="D52" i="3"/>
  <c r="G42" i="3"/>
  <c r="G95" i="3"/>
  <c r="E95" i="3"/>
  <c r="D105" i="3"/>
  <c r="D103" i="3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9" i="4"/>
  <c r="H69" i="4" s="1"/>
  <c r="G66" i="4"/>
  <c r="H66" i="4" s="1"/>
  <c r="D51" i="4"/>
  <c r="G65" i="4"/>
  <c r="H65" i="4" s="1"/>
  <c r="G63" i="4"/>
  <c r="H63" i="4" s="1"/>
  <c r="G67" i="4" l="1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09" i="4"/>
  <c r="E110" i="4"/>
  <c r="E113" i="4"/>
  <c r="E111" i="4"/>
  <c r="E112" i="4"/>
  <c r="D104" i="4"/>
  <c r="H60" i="4"/>
  <c r="E112" i="3"/>
  <c r="E110" i="3"/>
  <c r="E108" i="3"/>
  <c r="E113" i="3"/>
  <c r="E111" i="3"/>
  <c r="E109" i="3"/>
  <c r="D104" i="3"/>
  <c r="H60" i="3"/>
  <c r="G74" i="3"/>
  <c r="G72" i="3"/>
  <c r="G73" i="3" s="1"/>
  <c r="G72" i="4" l="1"/>
  <c r="G73" i="4" s="1"/>
  <c r="G74" i="4"/>
  <c r="E115" i="4"/>
  <c r="E116" i="4" s="1"/>
  <c r="E117" i="4"/>
  <c r="F117" i="4"/>
  <c r="F115" i="4"/>
  <c r="H74" i="4"/>
  <c r="H72" i="4"/>
  <c r="H74" i="3"/>
  <c r="H72" i="3"/>
  <c r="E115" i="3"/>
  <c r="E116" i="3" s="1"/>
  <c r="E117" i="3"/>
  <c r="F117" i="3" l="1"/>
  <c r="G76" i="4"/>
  <c r="H73" i="4"/>
  <c r="G76" i="3"/>
  <c r="H73" i="3"/>
  <c r="G120" i="4"/>
  <c r="F116" i="4"/>
  <c r="G120" i="3" l="1"/>
  <c r="F116" i="3"/>
</calcChain>
</file>

<file path=xl/sharedStrings.xml><?xml version="1.0" encoding="utf-8"?>
<sst xmlns="http://schemas.openxmlformats.org/spreadsheetml/2006/main" count="440" uniqueCount="136">
  <si>
    <t>HPLC System Suitability Report</t>
  </si>
  <si>
    <t>Analysis Data</t>
  </si>
  <si>
    <t>Assay</t>
  </si>
  <si>
    <t>Sample(s)</t>
  </si>
  <si>
    <t>Reference Substance:</t>
  </si>
  <si>
    <t>RIFAMPICIN 150MG &amp; ISONIAZID 75MG</t>
  </si>
  <si>
    <t>% age Purity:</t>
  </si>
  <si>
    <t>NDQD2016061095</t>
  </si>
  <si>
    <t>Weight (mg):</t>
  </si>
  <si>
    <t>Rifampicin 150mg &amp; Isoniazid 75mg</t>
  </si>
  <si>
    <t>Standard Conc (mg/mL):</t>
  </si>
  <si>
    <t>2016-06-09 15:31:33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</si>
  <si>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</si>
  <si>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</si>
  <si>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</si>
  <si>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</si>
  <si>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</si>
  <si>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</si>
  <si>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</si>
  <si>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</si>
  <si>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</si>
  <si>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</si>
  <si>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</si>
  <si>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</si>
  <si>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</si>
  <si>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</si>
  <si>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</si>
  <si>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</si>
  <si>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</si>
  <si>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</si>
  <si>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</si>
  <si>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</si>
  <si>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</si>
  <si>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</si>
  <si>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</si>
  <si>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</si>
  <si>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</si>
  <si>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</si>
  <si>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</si>
  <si>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</si>
  <si>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</si>
  <si>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</si>
  <si>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</si>
  <si>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</si>
  <si>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</si>
  <si>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</si>
  <si>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</si>
  <si>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</si>
  <si>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</si>
  <si>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</si>
  <si>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</si>
  <si>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</si>
  <si>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</si>
  <si>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</si>
  <si>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</si>
  <si>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</si>
  <si>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</si>
  <si>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</si>
  <si>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</si>
  <si>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</si>
  <si>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</si>
  <si>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</si>
  <si>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</si>
  <si>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</si>
  <si>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</si>
  <si>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</si>
  <si>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</si>
  <si>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</si>
  <si>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</si>
  <si>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</si>
  <si>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</si>
  <si>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</si>
  <si>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</si>
  <si>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</si>
  <si>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</si>
  <si>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</si>
  <si>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</si>
  <si>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</si>
  <si>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</si>
  <si>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</si>
  <si>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</si>
  <si>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</si>
  <si>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</si>
  <si>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</si>
  <si>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</si>
  <si>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</si>
  <si>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</si>
  <si>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</si>
  <si>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</si>
  <si>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</si>
  <si>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</si>
  <si>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</si>
  <si>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</si>
  <si>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</si>
  <si>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</si>
  <si>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</si>
  <si>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</si>
  <si>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</si>
  <si>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</si>
  <si>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</si>
  <si>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</si>
  <si>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</si>
  <si>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</si>
  <si>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</si>
  <si>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</si>
  <si>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</si>
  <si>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</si>
  <si>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</si>
  <si>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</si>
  <si>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</si>
  <si>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</si>
  <si>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</si>
  <si>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</si>
  <si>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</si>
  <si>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</si>
  <si>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</si>
  <si>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</si>
  <si>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</si>
  <si>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</si>
  <si>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</si>
  <si>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</si>
  <si>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</si>
  <si>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</si>
  <si>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</si>
  <si>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 and Isoniazid Tablets</t>
  </si>
  <si>
    <t>Isoniazid</t>
  </si>
  <si>
    <t>RUTTO/JOYFRIDA</t>
  </si>
  <si>
    <t>13/06/2016</t>
  </si>
  <si>
    <t>Rifampicin</t>
  </si>
  <si>
    <t xml:space="preserve">Rifampicin </t>
  </si>
  <si>
    <t>R5-1</t>
  </si>
  <si>
    <t xml:space="preserve"> Isoniazid </t>
  </si>
  <si>
    <t>I8-5</t>
  </si>
  <si>
    <t>RIFAMPICIN 150 mg &amp; ISONIAZID 75 mg TABLETS</t>
  </si>
  <si>
    <t>Tablet No.</t>
  </si>
  <si>
    <t>RIFAMPICIN 150 mg  &amp; ISONIAZID 75 mg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</si>
</sst>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protection locked="0"/>
    </xf>
    <xf numFmtId="171" fontId="11" fillId="2" borderId="60" xfId="0" applyNumberFormat="1" applyFont="1" applyFill="1" applyBorder="1" applyAlignment="1">
      <alignment horizontal="right"/>
    </xf>
    <xf numFmtId="0" fontId="11" fillId="2" borderId="61" xfId="0" applyFont="1" applyFill="1" applyBorder="1" applyAlignment="1">
      <alignment horizontal="right"/>
    </xf>
    <xf numFmtId="0" fontId="11" fillId="2" borderId="59" xfId="0" applyFont="1" applyFill="1" applyBorder="1" applyAlignment="1">
      <alignment horizontal="right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29" sqref="B2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463" t="s">
        <v>2</v>
      </c>
    </row>
    <row r="17" spans="1:6" ht="16.5" customHeight="1" x14ac:dyDescent="0.3">
      <c r="A17" s="7" t="s">
        <v>3</v>
      </c>
      <c r="B17" s="8" t="s">
        <v>124</v>
      </c>
      <c r="D17" s="9"/>
      <c r="E17" s="10"/>
    </row>
    <row r="18" spans="1:6" ht="16.5" customHeight="1" x14ac:dyDescent="0.3">
      <c r="A18" s="11" t="s">
        <v>4</v>
      </c>
      <c r="B18" s="9" t="s">
        <v>128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17.760000000000002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0.17760000000000001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55614940</v>
      </c>
      <c r="C24" s="18">
        <v>47038.55</v>
      </c>
      <c r="D24" s="19">
        <v>1.1599999999999999</v>
      </c>
      <c r="E24" s="20">
        <v>8.44</v>
      </c>
    </row>
    <row r="25" spans="1:6" ht="16.5" customHeight="1" x14ac:dyDescent="0.3">
      <c r="A25" s="17">
        <v>2</v>
      </c>
      <c r="B25" s="18">
        <v>55569776</v>
      </c>
      <c r="C25" s="18">
        <v>46456.2</v>
      </c>
      <c r="D25" s="19">
        <v>1.1499999999999999</v>
      </c>
      <c r="E25" s="19">
        <v>8.43</v>
      </c>
    </row>
    <row r="26" spans="1:6" ht="16.5" customHeight="1" x14ac:dyDescent="0.3">
      <c r="A26" s="17">
        <v>3</v>
      </c>
      <c r="B26" s="18">
        <v>55651146</v>
      </c>
      <c r="C26" s="18">
        <v>45939.519999999997</v>
      </c>
      <c r="D26" s="19">
        <v>1.1599999999999999</v>
      </c>
      <c r="E26" s="19">
        <v>8.44</v>
      </c>
    </row>
    <row r="27" spans="1:6" ht="16.5" customHeight="1" x14ac:dyDescent="0.3">
      <c r="A27" s="17">
        <v>4</v>
      </c>
      <c r="B27" s="18">
        <v>55563145</v>
      </c>
      <c r="C27" s="18">
        <v>45537.3</v>
      </c>
      <c r="D27" s="19">
        <v>1.1499999999999999</v>
      </c>
      <c r="E27" s="19">
        <v>8.43</v>
      </c>
    </row>
    <row r="28" spans="1:6" ht="16.5" customHeight="1" x14ac:dyDescent="0.3">
      <c r="A28" s="17">
        <v>5</v>
      </c>
      <c r="B28" s="18">
        <v>55402899</v>
      </c>
      <c r="C28" s="18">
        <v>45640.37</v>
      </c>
      <c r="D28" s="19">
        <v>1.1299999999999999</v>
      </c>
      <c r="E28" s="19">
        <v>8.43</v>
      </c>
    </row>
    <row r="29" spans="1:6" ht="16.5" customHeight="1" x14ac:dyDescent="0.3">
      <c r="A29" s="17">
        <v>6</v>
      </c>
      <c r="B29" s="21">
        <v>55374159</v>
      </c>
      <c r="C29" s="21">
        <v>45461.47</v>
      </c>
      <c r="D29" s="22">
        <v>1.1299999999999999</v>
      </c>
      <c r="E29" s="22">
        <v>8.43</v>
      </c>
    </row>
    <row r="30" spans="1:6" ht="16.5" customHeight="1" x14ac:dyDescent="0.3">
      <c r="A30" s="23" t="s">
        <v>17</v>
      </c>
      <c r="B30" s="24">
        <f>AVERAGE(B24:B29)</f>
        <v>55529344.166666664</v>
      </c>
      <c r="C30" s="25">
        <f>AVERAGE(C24:C29)</f>
        <v>46012.235000000008</v>
      </c>
      <c r="D30" s="26">
        <f>AVERAGE(D24:D29)</f>
        <v>1.1466666666666665</v>
      </c>
      <c r="E30" s="26">
        <f>AVERAGE(E24:E29)</f>
        <v>8.4333333333333318</v>
      </c>
    </row>
    <row r="31" spans="1:6" ht="16.5" customHeight="1" x14ac:dyDescent="0.3">
      <c r="A31" s="27" t="s">
        <v>18</v>
      </c>
      <c r="B31" s="28">
        <f>(STDEV(B24:B29)/B30)</f>
        <v>2.0534484379514679E-3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65" t="s">
        <v>25</v>
      </c>
      <c r="C59" s="46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126</v>
      </c>
      <c r="C60" s="48"/>
      <c r="E60" s="48" t="s">
        <v>127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9" workbookViewId="0">
      <selection activeCell="C25" sqref="C2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69" t="s">
        <v>30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31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32</v>
      </c>
      <c r="B14" s="473"/>
      <c r="C14" s="60" t="s">
        <v>5</v>
      </c>
    </row>
    <row r="15" spans="1:7" ht="16.5" customHeight="1" x14ac:dyDescent="0.3">
      <c r="A15" s="473" t="s">
        <v>33</v>
      </c>
      <c r="B15" s="473"/>
      <c r="C15" s="60" t="s">
        <v>7</v>
      </c>
    </row>
    <row r="16" spans="1:7" ht="16.5" customHeight="1" x14ac:dyDescent="0.3">
      <c r="A16" s="473" t="s">
        <v>34</v>
      </c>
      <c r="B16" s="473"/>
      <c r="C16" s="60" t="s">
        <v>9</v>
      </c>
    </row>
    <row r="17" spans="1:5" ht="16.5" customHeight="1" x14ac:dyDescent="0.3">
      <c r="A17" s="473" t="s">
        <v>35</v>
      </c>
      <c r="B17" s="473"/>
      <c r="C17" s="60" t="s">
        <v>9</v>
      </c>
    </row>
    <row r="18" spans="1:5" ht="16.5" customHeight="1" x14ac:dyDescent="0.3">
      <c r="A18" s="473" t="s">
        <v>36</v>
      </c>
      <c r="B18" s="473"/>
      <c r="C18" s="97" t="s">
        <v>11</v>
      </c>
    </row>
    <row r="19" spans="1:5" ht="16.5" customHeight="1" x14ac:dyDescent="0.3">
      <c r="A19" s="473" t="s">
        <v>37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38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379.03</v>
      </c>
      <c r="D24" s="87">
        <f t="shared" ref="D24:D43" si="0">(C24-$C$46)/$C$46</f>
        <v>8.58694582001749E-3</v>
      </c>
      <c r="E24" s="53"/>
    </row>
    <row r="25" spans="1:5" ht="15.75" customHeight="1" x14ac:dyDescent="0.3">
      <c r="C25" s="95">
        <v>372.23</v>
      </c>
      <c r="D25" s="88">
        <f t="shared" si="0"/>
        <v>-9.5076409714662281E-3</v>
      </c>
      <c r="E25" s="53"/>
    </row>
    <row r="26" spans="1:5" ht="15.75" customHeight="1" x14ac:dyDescent="0.3">
      <c r="C26" s="95">
        <v>376.05</v>
      </c>
      <c r="D26" s="88">
        <f t="shared" si="0"/>
        <v>6.5725925551438113E-4</v>
      </c>
      <c r="E26" s="53"/>
    </row>
    <row r="27" spans="1:5" ht="15.75" customHeight="1" x14ac:dyDescent="0.3">
      <c r="C27" s="95">
        <v>376.98</v>
      </c>
      <c r="D27" s="88">
        <f t="shared" si="0"/>
        <v>3.1319600961143947E-3</v>
      </c>
      <c r="E27" s="53"/>
    </row>
    <row r="28" spans="1:5" ht="15.75" customHeight="1" x14ac:dyDescent="0.3">
      <c r="C28" s="95">
        <v>379.32</v>
      </c>
      <c r="D28" s="88">
        <f t="shared" si="0"/>
        <v>9.3586267273014136E-3</v>
      </c>
      <c r="E28" s="53"/>
    </row>
    <row r="29" spans="1:5" ht="15.75" customHeight="1" x14ac:dyDescent="0.3">
      <c r="C29" s="95">
        <v>373.87</v>
      </c>
      <c r="D29" s="88">
        <f t="shared" si="0"/>
        <v>-5.1436523923436908E-3</v>
      </c>
      <c r="E29" s="53"/>
    </row>
    <row r="30" spans="1:5" ht="15.75" customHeight="1" x14ac:dyDescent="0.3">
      <c r="C30" s="95">
        <v>373.06</v>
      </c>
      <c r="D30" s="88">
        <f t="shared" si="0"/>
        <v>-7.2990369954469194E-3</v>
      </c>
      <c r="E30" s="53"/>
    </row>
    <row r="31" spans="1:5" ht="15.75" customHeight="1" x14ac:dyDescent="0.3">
      <c r="C31" s="95">
        <v>372.19</v>
      </c>
      <c r="D31" s="88">
        <f t="shared" si="0"/>
        <v>-9.6140797172985393E-3</v>
      </c>
      <c r="E31" s="53"/>
    </row>
    <row r="32" spans="1:5" ht="15.75" customHeight="1" x14ac:dyDescent="0.3">
      <c r="C32" s="95">
        <v>374.95</v>
      </c>
      <c r="D32" s="88">
        <f t="shared" si="0"/>
        <v>-2.269806254872771E-3</v>
      </c>
      <c r="E32" s="53"/>
    </row>
    <row r="33" spans="1:7" ht="15.75" customHeight="1" x14ac:dyDescent="0.3">
      <c r="C33" s="95">
        <v>376.64</v>
      </c>
      <c r="D33" s="88">
        <f t="shared" si="0"/>
        <v>2.2272307565401181E-3</v>
      </c>
      <c r="E33" s="53"/>
    </row>
    <row r="34" spans="1:7" ht="15.75" customHeight="1" x14ac:dyDescent="0.3">
      <c r="C34" s="95">
        <v>371.75</v>
      </c>
      <c r="D34" s="88">
        <f t="shared" si="0"/>
        <v>-1.0784905921453371E-2</v>
      </c>
      <c r="E34" s="53"/>
    </row>
    <row r="35" spans="1:7" ht="15.75" customHeight="1" x14ac:dyDescent="0.3">
      <c r="C35" s="95">
        <v>372.2</v>
      </c>
      <c r="D35" s="88">
        <f t="shared" si="0"/>
        <v>-9.5874700308404993E-3</v>
      </c>
      <c r="E35" s="53"/>
    </row>
    <row r="36" spans="1:7" ht="15.75" customHeight="1" x14ac:dyDescent="0.3">
      <c r="C36" s="95">
        <v>377.95</v>
      </c>
      <c r="D36" s="88">
        <f t="shared" si="0"/>
        <v>5.7130996825465697E-3</v>
      </c>
      <c r="E36" s="53"/>
    </row>
    <row r="37" spans="1:7" ht="15.75" customHeight="1" x14ac:dyDescent="0.3">
      <c r="C37" s="95">
        <v>380.83</v>
      </c>
      <c r="D37" s="88">
        <f t="shared" si="0"/>
        <v>1.3376689382469125E-2</v>
      </c>
      <c r="E37" s="53"/>
    </row>
    <row r="38" spans="1:7" ht="15.75" customHeight="1" x14ac:dyDescent="0.3">
      <c r="C38" s="95">
        <v>375.95</v>
      </c>
      <c r="D38" s="88">
        <f t="shared" si="0"/>
        <v>3.9116239093367597E-4</v>
      </c>
      <c r="E38" s="53"/>
    </row>
    <row r="39" spans="1:7" ht="15.75" customHeight="1" x14ac:dyDescent="0.3">
      <c r="C39" s="95">
        <v>380.14</v>
      </c>
      <c r="D39" s="88">
        <f t="shared" si="0"/>
        <v>1.1540621016862682E-2</v>
      </c>
      <c r="E39" s="53"/>
    </row>
    <row r="40" spans="1:7" ht="15.75" customHeight="1" x14ac:dyDescent="0.3">
      <c r="C40" s="95">
        <v>378.61</v>
      </c>
      <c r="D40" s="88">
        <f t="shared" si="0"/>
        <v>7.4693389887788911E-3</v>
      </c>
      <c r="E40" s="53"/>
    </row>
    <row r="41" spans="1:7" ht="15.75" customHeight="1" x14ac:dyDescent="0.3">
      <c r="C41" s="95">
        <v>376.42</v>
      </c>
      <c r="D41" s="88">
        <f t="shared" si="0"/>
        <v>1.6418176544627785E-3</v>
      </c>
      <c r="E41" s="53"/>
    </row>
    <row r="42" spans="1:7" ht="15.75" customHeight="1" x14ac:dyDescent="0.3">
      <c r="C42" s="95">
        <v>372.52</v>
      </c>
      <c r="D42" s="88">
        <f t="shared" si="0"/>
        <v>-8.7359600641824554E-3</v>
      </c>
      <c r="E42" s="53"/>
    </row>
    <row r="43" spans="1:7" ht="16.5" customHeight="1" x14ac:dyDescent="0.3">
      <c r="C43" s="96">
        <v>375.37</v>
      </c>
      <c r="D43" s="89">
        <f t="shared" si="0"/>
        <v>-1.1521994236340209E-3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7516.0599999999986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375.80299999999994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6">
        <f>C46</f>
        <v>375.80299999999994</v>
      </c>
      <c r="C49" s="93">
        <f>-IF(C46&lt;=80,10%,IF(C46&lt;250,7.5%,5%))</f>
        <v>-0.05</v>
      </c>
      <c r="D49" s="81">
        <f>IF(C46&lt;=80,C46*0.9,IF(C46&lt;250,C46*0.925,C46*0.95))</f>
        <v>357.0128499999999</v>
      </c>
    </row>
    <row r="50" spans="1:6" ht="17.25" customHeight="1" x14ac:dyDescent="0.3">
      <c r="B50" s="467"/>
      <c r="C50" s="94">
        <f>IF(C46&lt;=80, 10%, IF(C46&lt;250, 7.5%, 5%))</f>
        <v>0.05</v>
      </c>
      <c r="D50" s="81">
        <f>IF(C46&lt;=80, C46*1.1, IF(C46&lt;250, C46*1.075, C46*1.05))</f>
        <v>394.59314999999998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5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100" zoomScale="80" zoomScaleNormal="80" zoomScalePageLayoutView="50" workbookViewId="0">
      <selection activeCell="F123" sqref="F12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02" t="s">
        <v>44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3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3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3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3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3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3">
      <c r="A8" s="503" t="s">
        <v>45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3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3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3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3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3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3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5">
      <c r="A15" s="98"/>
    </row>
    <row r="16" spans="1:9" ht="19.5" customHeight="1" x14ac:dyDescent="0.35">
      <c r="A16" s="475" t="s">
        <v>30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3">
      <c r="A17" s="478" t="s">
        <v>46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5">
      <c r="A18" s="100" t="s">
        <v>32</v>
      </c>
      <c r="B18" s="513" t="s">
        <v>135</v>
      </c>
      <c r="C18" s="513"/>
      <c r="D18" s="265"/>
      <c r="E18" s="101"/>
      <c r="F18" s="102"/>
      <c r="G18" s="102"/>
      <c r="H18" s="102"/>
    </row>
    <row r="19" spans="1:14" ht="26.25" customHeight="1" x14ac:dyDescent="0.5">
      <c r="A19" s="100" t="s">
        <v>33</v>
      </c>
      <c r="B19" s="103" t="s">
        <v>7</v>
      </c>
      <c r="C19" s="278">
        <v>29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34</v>
      </c>
      <c r="B20" s="479" t="s">
        <v>129</v>
      </c>
      <c r="C20" s="479"/>
      <c r="D20" s="102"/>
      <c r="E20" s="102"/>
      <c r="F20" s="102"/>
      <c r="G20" s="102"/>
      <c r="H20" s="102"/>
    </row>
    <row r="21" spans="1:14" ht="26.25" customHeight="1" x14ac:dyDescent="0.5">
      <c r="A21" s="100" t="s">
        <v>35</v>
      </c>
      <c r="B21" s="479" t="s">
        <v>9</v>
      </c>
      <c r="C21" s="479"/>
      <c r="D21" s="479"/>
      <c r="E21" s="479"/>
      <c r="F21" s="479"/>
      <c r="G21" s="479"/>
      <c r="H21" s="479"/>
      <c r="I21" s="104"/>
    </row>
    <row r="22" spans="1:14" ht="26.25" customHeight="1" x14ac:dyDescent="0.5">
      <c r="A22" s="100" t="s">
        <v>36</v>
      </c>
      <c r="B22" s="105">
        <v>42531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37</v>
      </c>
      <c r="B23" s="105">
        <v>42532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474" t="s">
        <v>128</v>
      </c>
      <c r="C26" s="474"/>
    </row>
    <row r="27" spans="1:14" ht="26.25" customHeight="1" x14ac:dyDescent="0.5">
      <c r="A27" s="109" t="s">
        <v>47</v>
      </c>
      <c r="B27" s="480" t="s">
        <v>130</v>
      </c>
      <c r="C27" s="480"/>
    </row>
    <row r="28" spans="1:14" ht="27" customHeight="1" x14ac:dyDescent="0.45">
      <c r="A28" s="109" t="s">
        <v>6</v>
      </c>
      <c r="B28" s="110">
        <v>98.5</v>
      </c>
    </row>
    <row r="29" spans="1:14" s="14" customFormat="1" ht="27" customHeight="1" x14ac:dyDescent="0.5">
      <c r="A29" s="109" t="s">
        <v>48</v>
      </c>
      <c r="B29" s="111">
        <v>0</v>
      </c>
      <c r="C29" s="481" t="s">
        <v>49</v>
      </c>
      <c r="D29" s="482"/>
      <c r="E29" s="482"/>
      <c r="F29" s="482"/>
      <c r="G29" s="483"/>
      <c r="I29" s="112"/>
      <c r="J29" s="112"/>
      <c r="K29" s="112"/>
      <c r="L29" s="112"/>
    </row>
    <row r="30" spans="1:14" s="14" customFormat="1" ht="19.5" customHeight="1" x14ac:dyDescent="0.35">
      <c r="A30" s="109" t="s">
        <v>50</v>
      </c>
      <c r="B30" s="113">
        <f>B28-B29</f>
        <v>98.5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51</v>
      </c>
      <c r="B31" s="116">
        <v>1</v>
      </c>
      <c r="C31" s="484" t="s">
        <v>52</v>
      </c>
      <c r="D31" s="485"/>
      <c r="E31" s="485"/>
      <c r="F31" s="485"/>
      <c r="G31" s="485"/>
      <c r="H31" s="486"/>
      <c r="I31" s="112"/>
      <c r="J31" s="112"/>
      <c r="K31" s="112"/>
      <c r="L31" s="112"/>
    </row>
    <row r="32" spans="1:14" s="14" customFormat="1" ht="27" customHeight="1" x14ac:dyDescent="0.45">
      <c r="A32" s="109" t="s">
        <v>53</v>
      </c>
      <c r="B32" s="116">
        <v>1</v>
      </c>
      <c r="C32" s="484" t="s">
        <v>54</v>
      </c>
      <c r="D32" s="485"/>
      <c r="E32" s="485"/>
      <c r="F32" s="485"/>
      <c r="G32" s="485"/>
      <c r="H32" s="486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57</v>
      </c>
      <c r="B36" s="123">
        <v>100</v>
      </c>
      <c r="C36" s="99"/>
      <c r="D36" s="487" t="s">
        <v>58</v>
      </c>
      <c r="E36" s="488"/>
      <c r="F36" s="487" t="s">
        <v>59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65</v>
      </c>
      <c r="B38" s="125">
        <v>1</v>
      </c>
      <c r="C38" s="131">
        <v>1</v>
      </c>
      <c r="D38" s="132">
        <v>55486828</v>
      </c>
      <c r="E38" s="133">
        <f>IF(ISBLANK(D38),"-",$D$48/$D$45*D38)</f>
        <v>50749373.942470387</v>
      </c>
      <c r="F38" s="132">
        <v>49127867</v>
      </c>
      <c r="G38" s="134">
        <f>IF(ISBLANK(F38),"-",$D$48/$F$45*F38)</f>
        <v>50991444.965213016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66</v>
      </c>
      <c r="B39" s="125">
        <v>1</v>
      </c>
      <c r="C39" s="136">
        <v>2</v>
      </c>
      <c r="D39" s="137">
        <v>55017207</v>
      </c>
      <c r="E39" s="138">
        <f>IF(ISBLANK(D39),"-",$D$48/$D$45*D39)</f>
        <v>50319849.08766634</v>
      </c>
      <c r="F39" s="137">
        <v>49043415</v>
      </c>
      <c r="G39" s="139">
        <f>IF(ISBLANK(F39),"-",$D$48/$F$45*F39)</f>
        <v>50903789.429298908</v>
      </c>
      <c r="I39" s="491">
        <f>ABS((F43/D43*D42)-F42)/D42</f>
        <v>7.87171238077106E-3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67</v>
      </c>
      <c r="B40" s="125">
        <v>1</v>
      </c>
      <c r="C40" s="136">
        <v>3</v>
      </c>
      <c r="D40" s="137">
        <v>54969938</v>
      </c>
      <c r="E40" s="138">
        <f>IF(ISBLANK(D40),"-",$D$48/$D$45*D40)</f>
        <v>50276615.905245341</v>
      </c>
      <c r="F40" s="137">
        <v>48945903</v>
      </c>
      <c r="G40" s="139">
        <f>IF(ISBLANK(F40),"-",$D$48/$F$45*F40)</f>
        <v>50802578.485590562</v>
      </c>
      <c r="I40" s="491"/>
      <c r="L40" s="117"/>
      <c r="M40" s="117"/>
      <c r="N40" s="140"/>
    </row>
    <row r="41" spans="1:14" ht="27" customHeight="1" x14ac:dyDescent="0.45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69</v>
      </c>
      <c r="B42" s="125">
        <v>1</v>
      </c>
      <c r="C42" s="146" t="s">
        <v>70</v>
      </c>
      <c r="D42" s="147">
        <f>AVERAGE(D38:D41)</f>
        <v>55157991</v>
      </c>
      <c r="E42" s="148">
        <f>AVERAGE(E38:E41)</f>
        <v>50448612.978460692</v>
      </c>
      <c r="F42" s="147">
        <f>AVERAGE(F38:F41)</f>
        <v>49039061.666666664</v>
      </c>
      <c r="G42" s="149">
        <f>AVERAGE(G38:G41)</f>
        <v>50899270.960034162</v>
      </c>
      <c r="H42" s="150"/>
    </row>
    <row r="43" spans="1:14" ht="26.25" customHeight="1" x14ac:dyDescent="0.45">
      <c r="A43" s="124" t="s">
        <v>71</v>
      </c>
      <c r="B43" s="125">
        <v>1</v>
      </c>
      <c r="C43" s="151" t="s">
        <v>72</v>
      </c>
      <c r="D43" s="152">
        <v>17.760000000000002</v>
      </c>
      <c r="E43" s="140"/>
      <c r="F43" s="152">
        <v>15.65</v>
      </c>
      <c r="H43" s="150"/>
    </row>
    <row r="44" spans="1:14" ht="26.25" customHeight="1" x14ac:dyDescent="0.45">
      <c r="A44" s="124" t="s">
        <v>73</v>
      </c>
      <c r="B44" s="125">
        <v>1</v>
      </c>
      <c r="C44" s="153" t="s">
        <v>74</v>
      </c>
      <c r="D44" s="154">
        <f>D43*$B$34</f>
        <v>17.760000000000002</v>
      </c>
      <c r="E44" s="155"/>
      <c r="F44" s="154">
        <f>F43*$B$34</f>
        <v>15.65</v>
      </c>
      <c r="H44" s="150"/>
    </row>
    <row r="45" spans="1:14" ht="19.5" customHeight="1" x14ac:dyDescent="0.35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17.493600000000001</v>
      </c>
      <c r="E45" s="158"/>
      <c r="F45" s="157">
        <f>F44*$B$30/100</f>
        <v>15.41525</v>
      </c>
      <c r="H45" s="150"/>
    </row>
    <row r="46" spans="1:14" ht="19.5" customHeight="1" x14ac:dyDescent="0.35">
      <c r="A46" s="492" t="s">
        <v>77</v>
      </c>
      <c r="B46" s="493"/>
      <c r="C46" s="153" t="s">
        <v>78</v>
      </c>
      <c r="D46" s="159">
        <f>D45/$B$45</f>
        <v>0.17493600000000001</v>
      </c>
      <c r="E46" s="160"/>
      <c r="F46" s="161">
        <f>F45/$B$45</f>
        <v>0.1541525</v>
      </c>
      <c r="H46" s="150"/>
    </row>
    <row r="47" spans="1:14" ht="27" customHeight="1" x14ac:dyDescent="0.45">
      <c r="A47" s="494"/>
      <c r="B47" s="495"/>
      <c r="C47" s="162" t="s">
        <v>79</v>
      </c>
      <c r="D47" s="163">
        <v>0.16</v>
      </c>
      <c r="E47" s="164"/>
      <c r="F47" s="160"/>
      <c r="H47" s="150"/>
    </row>
    <row r="48" spans="1:14" ht="18" x14ac:dyDescent="0.35">
      <c r="C48" s="165" t="s">
        <v>80</v>
      </c>
      <c r="D48" s="157">
        <f>D47*$B$45</f>
        <v>16</v>
      </c>
      <c r="F48" s="166"/>
      <c r="H48" s="150"/>
    </row>
    <row r="49" spans="1:12" ht="19.5" customHeight="1" x14ac:dyDescent="0.35">
      <c r="C49" s="167" t="s">
        <v>81</v>
      </c>
      <c r="D49" s="168">
        <f>D48/B34</f>
        <v>16</v>
      </c>
      <c r="F49" s="166"/>
      <c r="H49" s="150"/>
    </row>
    <row r="50" spans="1:12" ht="18" x14ac:dyDescent="0.35">
      <c r="C50" s="122" t="s">
        <v>82</v>
      </c>
      <c r="D50" s="169">
        <f>AVERAGE(E38:E41,G38:G41)</f>
        <v>50673941.969247423</v>
      </c>
      <c r="F50" s="170"/>
      <c r="H50" s="150"/>
    </row>
    <row r="51" spans="1:12" ht="18" x14ac:dyDescent="0.35">
      <c r="C51" s="124" t="s">
        <v>83</v>
      </c>
      <c r="D51" s="171">
        <f>STDEV(E38:E41,G38:G41)/D50</f>
        <v>5.9799263105394422E-3</v>
      </c>
      <c r="F51" s="170"/>
      <c r="H51" s="150"/>
    </row>
    <row r="52" spans="1:12" ht="19.5" customHeight="1" x14ac:dyDescent="0.35">
      <c r="C52" s="172" t="s">
        <v>19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84</v>
      </c>
    </row>
    <row r="55" spans="1:12" ht="18" x14ac:dyDescent="0.35">
      <c r="A55" s="99" t="s">
        <v>85</v>
      </c>
      <c r="B55" s="176" t="str">
        <f>B21</f>
        <v>Rifampicin 150mg &amp; Isoniazid 75mg</v>
      </c>
    </row>
    <row r="56" spans="1:12" ht="26.25" customHeight="1" x14ac:dyDescent="0.45">
      <c r="A56" s="177" t="s">
        <v>86</v>
      </c>
      <c r="B56" s="178">
        <v>150</v>
      </c>
      <c r="C56" s="99" t="str">
        <f>B20</f>
        <v xml:space="preserve">Rifampicin </v>
      </c>
      <c r="D56" s="2">
        <f>B69/B57*B56</f>
        <v>15.999999999999998</v>
      </c>
      <c r="H56" s="179"/>
    </row>
    <row r="57" spans="1:12" ht="18" x14ac:dyDescent="0.35">
      <c r="A57" s="176" t="s">
        <v>87</v>
      </c>
      <c r="B57" s="266">
        <f>Uniformity!C46</f>
        <v>375.80299999999994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5">
      <c r="A60" s="124" t="s">
        <v>92</v>
      </c>
      <c r="B60" s="125">
        <v>1</v>
      </c>
      <c r="C60" s="496" t="s">
        <v>93</v>
      </c>
      <c r="D60" s="499">
        <v>41.56</v>
      </c>
      <c r="E60" s="182">
        <v>1</v>
      </c>
      <c r="F60" s="183">
        <v>51864382</v>
      </c>
      <c r="G60" s="267">
        <f>IF(ISBLANK(F60),"-",(F60/$D$50*$D$47*$B$68)*($B$57/$D$60))</f>
        <v>148.07754449194726</v>
      </c>
      <c r="H60" s="184">
        <f t="shared" ref="H60:H71" si="0">IF(ISBLANK(F60),"-",G60/$B$56)</f>
        <v>0.98718362994631514</v>
      </c>
      <c r="L60" s="112"/>
    </row>
    <row r="61" spans="1:12" s="14" customFormat="1" ht="26.25" customHeight="1" x14ac:dyDescent="0.45">
      <c r="A61" s="124" t="s">
        <v>94</v>
      </c>
      <c r="B61" s="125">
        <v>1</v>
      </c>
      <c r="C61" s="497"/>
      <c r="D61" s="500"/>
      <c r="E61" s="185">
        <v>2</v>
      </c>
      <c r="F61" s="137">
        <v>51787368</v>
      </c>
      <c r="G61" s="268">
        <f>IF(ISBLANK(F61),"-",(F61/$D$50*$D$47*$B$68)*($B$57/$D$60))</f>
        <v>147.85766249255309</v>
      </c>
      <c r="H61" s="186">
        <f t="shared" si="0"/>
        <v>0.98571774995035388</v>
      </c>
      <c r="L61" s="112"/>
    </row>
    <row r="62" spans="1:12" s="14" customFormat="1" ht="26.25" customHeight="1" x14ac:dyDescent="0.45">
      <c r="A62" s="124" t="s">
        <v>95</v>
      </c>
      <c r="B62" s="125">
        <v>1</v>
      </c>
      <c r="C62" s="497"/>
      <c r="D62" s="500"/>
      <c r="E62" s="185">
        <v>3</v>
      </c>
      <c r="F62" s="187">
        <v>51587325</v>
      </c>
      <c r="G62" s="268">
        <f>IF(ISBLANK(F62),"-",(F62/$D$50*$D$47*$B$68)*($B$57/$D$60))</f>
        <v>147.28652146878068</v>
      </c>
      <c r="H62" s="186">
        <f t="shared" si="0"/>
        <v>0.98191014312520453</v>
      </c>
      <c r="L62" s="112"/>
    </row>
    <row r="63" spans="1:12" ht="27" customHeight="1" x14ac:dyDescent="0.45">
      <c r="A63" s="124" t="s">
        <v>96</v>
      </c>
      <c r="B63" s="125">
        <v>1</v>
      </c>
      <c r="C63" s="498"/>
      <c r="D63" s="501"/>
      <c r="E63" s="188">
        <v>4</v>
      </c>
      <c r="F63" s="189"/>
      <c r="G63" s="268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5">
      <c r="A64" s="124" t="s">
        <v>97</v>
      </c>
      <c r="B64" s="125">
        <v>1</v>
      </c>
      <c r="C64" s="496" t="s">
        <v>98</v>
      </c>
      <c r="D64" s="499">
        <v>39.11</v>
      </c>
      <c r="E64" s="182">
        <v>1</v>
      </c>
      <c r="F64" s="183">
        <v>48584723</v>
      </c>
      <c r="G64" s="269">
        <f>IF(ISBLANK(F64),"-",(F64/$D$50*$D$47*$B$68)*($B$57/$D$64))</f>
        <v>147.40338289727984</v>
      </c>
      <c r="H64" s="190">
        <f t="shared" si="0"/>
        <v>0.98268921931519893</v>
      </c>
    </row>
    <row r="65" spans="1:8" ht="26.25" customHeight="1" x14ac:dyDescent="0.45">
      <c r="A65" s="124" t="s">
        <v>99</v>
      </c>
      <c r="B65" s="125">
        <v>1</v>
      </c>
      <c r="C65" s="497"/>
      <c r="D65" s="500"/>
      <c r="E65" s="185">
        <v>2</v>
      </c>
      <c r="F65" s="137">
        <v>48529133</v>
      </c>
      <c r="G65" s="270">
        <f>IF(ISBLANK(F65),"-",(F65/$D$50*$D$47*$B$68)*($B$57/$D$64))</f>
        <v>147.23472588846536</v>
      </c>
      <c r="H65" s="191">
        <f t="shared" si="0"/>
        <v>0.98156483925643578</v>
      </c>
    </row>
    <row r="66" spans="1:8" ht="26.25" customHeight="1" x14ac:dyDescent="0.45">
      <c r="A66" s="124" t="s">
        <v>100</v>
      </c>
      <c r="B66" s="125">
        <v>1</v>
      </c>
      <c r="C66" s="497"/>
      <c r="D66" s="500"/>
      <c r="E66" s="185">
        <v>3</v>
      </c>
      <c r="F66" s="137">
        <v>48426455</v>
      </c>
      <c r="G66" s="270">
        <f>IF(ISBLANK(F66),"-",(F66/$D$50*$D$47*$B$68)*($B$57/$D$64))</f>
        <v>146.92320647218452</v>
      </c>
      <c r="H66" s="191">
        <f t="shared" si="0"/>
        <v>0.97948804314789684</v>
      </c>
    </row>
    <row r="67" spans="1:8" ht="27" customHeight="1" x14ac:dyDescent="0.45">
      <c r="A67" s="124" t="s">
        <v>101</v>
      </c>
      <c r="B67" s="125">
        <v>1</v>
      </c>
      <c r="C67" s="498"/>
      <c r="D67" s="501"/>
      <c r="E67" s="188">
        <v>4</v>
      </c>
      <c r="F67" s="189"/>
      <c r="G67" s="27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5">
      <c r="A68" s="124" t="s">
        <v>102</v>
      </c>
      <c r="B68" s="193">
        <f>(B67/B66)*(B65/B64)*(B63/B62)*(B61/B60)*B59</f>
        <v>100</v>
      </c>
      <c r="C68" s="496" t="s">
        <v>103</v>
      </c>
      <c r="D68" s="499">
        <v>40.65</v>
      </c>
      <c r="E68" s="182">
        <v>1</v>
      </c>
      <c r="F68" s="183">
        <v>49984818</v>
      </c>
      <c r="G68" s="269">
        <f>IF(ISBLANK(F68),"-",(F68/$D$50*$D$47*$B$68)*($B$57/$D$68))</f>
        <v>145.90598298362232</v>
      </c>
      <c r="H68" s="186">
        <f t="shared" si="0"/>
        <v>0.97270655322414878</v>
      </c>
    </row>
    <row r="69" spans="1:8" ht="27" customHeight="1" x14ac:dyDescent="0.5">
      <c r="A69" s="172" t="s">
        <v>104</v>
      </c>
      <c r="B69" s="194">
        <f>(D47*B68)/B56*B57</f>
        <v>40.085653333333326</v>
      </c>
      <c r="C69" s="497"/>
      <c r="D69" s="500"/>
      <c r="E69" s="185">
        <v>2</v>
      </c>
      <c r="F69" s="137">
        <v>49759009</v>
      </c>
      <c r="G69" s="270">
        <f>IF(ISBLANK(F69),"-",(F69/$D$50*$D$47*$B$68)*($B$57/$D$68))</f>
        <v>145.24684516078284</v>
      </c>
      <c r="H69" s="186">
        <f t="shared" si="0"/>
        <v>0.96831230107188559</v>
      </c>
    </row>
    <row r="70" spans="1:8" ht="26.25" customHeight="1" x14ac:dyDescent="0.45">
      <c r="A70" s="509" t="s">
        <v>77</v>
      </c>
      <c r="B70" s="510"/>
      <c r="C70" s="497"/>
      <c r="D70" s="500"/>
      <c r="E70" s="185">
        <v>3</v>
      </c>
      <c r="F70" s="137">
        <v>49780659</v>
      </c>
      <c r="G70" s="270">
        <f>IF(ISBLANK(F70),"-",(F70/$D$50*$D$47*$B$68)*($B$57/$D$68))</f>
        <v>145.31004164039382</v>
      </c>
      <c r="H70" s="186">
        <f t="shared" si="0"/>
        <v>0.96873361093595878</v>
      </c>
    </row>
    <row r="71" spans="1:8" ht="27" customHeight="1" x14ac:dyDescent="0.45">
      <c r="A71" s="511"/>
      <c r="B71" s="512"/>
      <c r="C71" s="508"/>
      <c r="D71" s="501"/>
      <c r="E71" s="188">
        <v>4</v>
      </c>
      <c r="F71" s="189"/>
      <c r="G71" s="27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5">
      <c r="A72" s="196"/>
      <c r="B72" s="196"/>
      <c r="C72" s="196"/>
      <c r="D72" s="196"/>
      <c r="E72" s="196"/>
      <c r="F72" s="198" t="s">
        <v>70</v>
      </c>
      <c r="G72" s="276">
        <f>AVERAGE(G60:G71)</f>
        <v>146.80510149955666</v>
      </c>
      <c r="H72" s="199">
        <f>AVERAGE(H60:H71)</f>
        <v>0.97870067666371086</v>
      </c>
    </row>
    <row r="73" spans="1:8" ht="26.25" customHeight="1" x14ac:dyDescent="0.45">
      <c r="C73" s="196"/>
      <c r="D73" s="196"/>
      <c r="E73" s="196"/>
      <c r="F73" s="200" t="s">
        <v>83</v>
      </c>
      <c r="G73" s="272">
        <f>STDEV(G60:G71)/G72</f>
        <v>7.2197379331211068E-3</v>
      </c>
      <c r="H73" s="272">
        <f>STDEV(H60:H71)/H72</f>
        <v>7.2197379331211198E-3</v>
      </c>
    </row>
    <row r="74" spans="1:8" ht="27" customHeight="1" x14ac:dyDescent="0.45">
      <c r="A74" s="196"/>
      <c r="B74" s="196"/>
      <c r="C74" s="197"/>
      <c r="D74" s="197"/>
      <c r="E74" s="201"/>
      <c r="F74" s="202" t="s">
        <v>19</v>
      </c>
      <c r="G74" s="203">
        <f>COUNT(G60:G71)</f>
        <v>9</v>
      </c>
      <c r="H74" s="203">
        <f>COUNT(H60:H71)</f>
        <v>9</v>
      </c>
    </row>
    <row r="76" spans="1:8" ht="26.25" customHeight="1" x14ac:dyDescent="0.45">
      <c r="A76" s="108" t="s">
        <v>105</v>
      </c>
      <c r="B76" s="204" t="s">
        <v>106</v>
      </c>
      <c r="C76" s="504" t="str">
        <f>B20</f>
        <v xml:space="preserve">Rifampicin </v>
      </c>
      <c r="D76" s="504"/>
      <c r="E76" s="205" t="s">
        <v>107</v>
      </c>
      <c r="F76" s="205"/>
      <c r="G76" s="206">
        <f>H72</f>
        <v>0.97870067666371086</v>
      </c>
      <c r="H76" s="207"/>
    </row>
    <row r="77" spans="1:8" ht="18" x14ac:dyDescent="0.35">
      <c r="A77" s="107" t="s">
        <v>108</v>
      </c>
      <c r="B77" s="107" t="s">
        <v>109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490" t="str">
        <f>B26</f>
        <v>Rifampicin</v>
      </c>
      <c r="C79" s="490"/>
    </row>
    <row r="80" spans="1:8" ht="26.25" customHeight="1" x14ac:dyDescent="0.45">
      <c r="A80" s="109" t="s">
        <v>47</v>
      </c>
      <c r="B80" s="490" t="str">
        <f>B27</f>
        <v>R5-1</v>
      </c>
      <c r="C80" s="490"/>
    </row>
    <row r="81" spans="1:12" ht="27" customHeight="1" x14ac:dyDescent="0.45">
      <c r="A81" s="109" t="s">
        <v>6</v>
      </c>
      <c r="B81" s="208">
        <f>B28</f>
        <v>98.5</v>
      </c>
    </row>
    <row r="82" spans="1:12" s="14" customFormat="1" ht="27" customHeight="1" x14ac:dyDescent="0.5">
      <c r="A82" s="109" t="s">
        <v>48</v>
      </c>
      <c r="B82" s="111">
        <v>0</v>
      </c>
      <c r="C82" s="481" t="s">
        <v>49</v>
      </c>
      <c r="D82" s="482"/>
      <c r="E82" s="482"/>
      <c r="F82" s="482"/>
      <c r="G82" s="483"/>
      <c r="I82" s="112"/>
      <c r="J82" s="112"/>
      <c r="K82" s="112"/>
      <c r="L82" s="112"/>
    </row>
    <row r="83" spans="1:12" s="14" customFormat="1" ht="19.5" customHeight="1" x14ac:dyDescent="0.35">
      <c r="A83" s="109" t="s">
        <v>50</v>
      </c>
      <c r="B83" s="113">
        <f>B81-B82</f>
        <v>98.5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51</v>
      </c>
      <c r="B84" s="116">
        <v>1</v>
      </c>
      <c r="C84" s="484" t="s">
        <v>110</v>
      </c>
      <c r="D84" s="485"/>
      <c r="E84" s="485"/>
      <c r="F84" s="485"/>
      <c r="G84" s="485"/>
      <c r="H84" s="486"/>
      <c r="I84" s="112"/>
      <c r="J84" s="112"/>
      <c r="K84" s="112"/>
      <c r="L84" s="112"/>
    </row>
    <row r="85" spans="1:12" s="14" customFormat="1" ht="27" customHeight="1" x14ac:dyDescent="0.45">
      <c r="A85" s="109" t="s">
        <v>53</v>
      </c>
      <c r="B85" s="116">
        <v>1</v>
      </c>
      <c r="C85" s="484" t="s">
        <v>111</v>
      </c>
      <c r="D85" s="485"/>
      <c r="E85" s="485"/>
      <c r="F85" s="485"/>
      <c r="G85" s="485"/>
      <c r="H85" s="486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57</v>
      </c>
      <c r="B89" s="123">
        <v>100</v>
      </c>
      <c r="D89" s="209" t="s">
        <v>58</v>
      </c>
      <c r="E89" s="210"/>
      <c r="F89" s="487" t="s">
        <v>59</v>
      </c>
      <c r="G89" s="489"/>
    </row>
    <row r="90" spans="1:12" ht="27" customHeight="1" x14ac:dyDescent="0.45">
      <c r="A90" s="124" t="s">
        <v>60</v>
      </c>
      <c r="B90" s="125">
        <v>1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5">
      <c r="A91" s="124" t="s">
        <v>65</v>
      </c>
      <c r="B91" s="125">
        <v>1</v>
      </c>
      <c r="C91" s="213">
        <v>1</v>
      </c>
      <c r="D91" s="132">
        <v>55486828</v>
      </c>
      <c r="E91" s="133">
        <f>IF(ISBLANK(D91),"-",$D$101/$D$98*D91)</f>
        <v>52863931.190073311</v>
      </c>
      <c r="F91" s="132">
        <v>49127867</v>
      </c>
      <c r="G91" s="134">
        <f>IF(ISBLANK(F91),"-",$D$101/$F$98*F91)</f>
        <v>53116088.505430222</v>
      </c>
      <c r="I91" s="135"/>
    </row>
    <row r="92" spans="1:12" ht="26.25" customHeight="1" x14ac:dyDescent="0.45">
      <c r="A92" s="124" t="s">
        <v>66</v>
      </c>
      <c r="B92" s="125">
        <v>1</v>
      </c>
      <c r="C92" s="197">
        <v>2</v>
      </c>
      <c r="D92" s="137">
        <v>55017207</v>
      </c>
      <c r="E92" s="138">
        <f>IF(ISBLANK(D92),"-",$D$101/$D$98*D92)</f>
        <v>52416509.466319107</v>
      </c>
      <c r="F92" s="137">
        <v>49043415</v>
      </c>
      <c r="G92" s="139">
        <f>IF(ISBLANK(F92),"-",$D$101/$F$98*F92)</f>
        <v>53024780.655519687</v>
      </c>
      <c r="I92" s="491">
        <f>ABS((F96/D96*D95)-F95)/D95</f>
        <v>7.87171238077106E-3</v>
      </c>
    </row>
    <row r="93" spans="1:12" ht="26.25" customHeight="1" x14ac:dyDescent="0.45">
      <c r="A93" s="124" t="s">
        <v>67</v>
      </c>
      <c r="B93" s="125">
        <v>1</v>
      </c>
      <c r="C93" s="197">
        <v>3</v>
      </c>
      <c r="D93" s="137">
        <v>54969938</v>
      </c>
      <c r="E93" s="138">
        <f>IF(ISBLANK(D93),"-",$D$101/$D$98*D93)</f>
        <v>52371474.901297227</v>
      </c>
      <c r="F93" s="137">
        <v>48945903</v>
      </c>
      <c r="G93" s="139">
        <f>IF(ISBLANK(F93),"-",$D$101/$F$98*F93)</f>
        <v>52919352.589156836</v>
      </c>
      <c r="I93" s="491"/>
    </row>
    <row r="94" spans="1:12" ht="27" customHeight="1" x14ac:dyDescent="0.45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5">
      <c r="A95" s="124" t="s">
        <v>69</v>
      </c>
      <c r="B95" s="125">
        <v>1</v>
      </c>
      <c r="C95" s="216" t="s">
        <v>70</v>
      </c>
      <c r="D95" s="217">
        <f>AVERAGE(D91:D94)</f>
        <v>55157991</v>
      </c>
      <c r="E95" s="148">
        <f>AVERAGE(E91:E94)</f>
        <v>52550638.519229889</v>
      </c>
      <c r="F95" s="218">
        <f>AVERAGE(F91:F94)</f>
        <v>49039061.666666664</v>
      </c>
      <c r="G95" s="219">
        <f>AVERAGE(G91:G94)</f>
        <v>53020073.916702248</v>
      </c>
    </row>
    <row r="96" spans="1:12" ht="26.25" customHeight="1" x14ac:dyDescent="0.45">
      <c r="A96" s="124" t="s">
        <v>71</v>
      </c>
      <c r="B96" s="110">
        <v>1</v>
      </c>
      <c r="C96" s="220" t="s">
        <v>112</v>
      </c>
      <c r="D96" s="221">
        <v>17.760000000000002</v>
      </c>
      <c r="E96" s="140"/>
      <c r="F96" s="152">
        <v>15.65</v>
      </c>
    </row>
    <row r="97" spans="1:10" ht="26.25" customHeight="1" x14ac:dyDescent="0.45">
      <c r="A97" s="124" t="s">
        <v>73</v>
      </c>
      <c r="B97" s="110">
        <v>1</v>
      </c>
      <c r="C97" s="222" t="s">
        <v>113</v>
      </c>
      <c r="D97" s="223">
        <f>D96*$B$87</f>
        <v>17.760000000000002</v>
      </c>
      <c r="E97" s="155"/>
      <c r="F97" s="154">
        <f>F96*$B$87</f>
        <v>15.65</v>
      </c>
    </row>
    <row r="98" spans="1:10" ht="19.5" customHeight="1" x14ac:dyDescent="0.35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17.493600000000001</v>
      </c>
      <c r="E98" s="158"/>
      <c r="F98" s="157">
        <f>F97*$B$83/100</f>
        <v>15.41525</v>
      </c>
    </row>
    <row r="99" spans="1:10" ht="19.5" customHeight="1" x14ac:dyDescent="0.35">
      <c r="A99" s="492" t="s">
        <v>77</v>
      </c>
      <c r="B99" s="506"/>
      <c r="C99" s="222" t="s">
        <v>115</v>
      </c>
      <c r="D99" s="226">
        <f>D98/$B$98</f>
        <v>0.17493600000000001</v>
      </c>
      <c r="E99" s="158"/>
      <c r="F99" s="161">
        <f>F98/$B$98</f>
        <v>0.1541525</v>
      </c>
      <c r="G99" s="227"/>
      <c r="H99" s="150"/>
    </row>
    <row r="100" spans="1:10" ht="19.5" customHeight="1" x14ac:dyDescent="0.35">
      <c r="A100" s="494"/>
      <c r="B100" s="507"/>
      <c r="C100" s="222" t="s">
        <v>79</v>
      </c>
      <c r="D100" s="228">
        <f>$B$56/$B$116</f>
        <v>0.16666666666666666</v>
      </c>
      <c r="F100" s="166"/>
      <c r="G100" s="229"/>
      <c r="H100" s="150"/>
    </row>
    <row r="101" spans="1:10" ht="18" x14ac:dyDescent="0.35">
      <c r="C101" s="222" t="s">
        <v>80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5">
      <c r="C102" s="230" t="s">
        <v>81</v>
      </c>
      <c r="D102" s="231">
        <f>D101/B34</f>
        <v>16.666666666666664</v>
      </c>
      <c r="F102" s="170"/>
      <c r="G102" s="227"/>
      <c r="H102" s="150"/>
      <c r="J102" s="232"/>
    </row>
    <row r="103" spans="1:10" ht="18" x14ac:dyDescent="0.35">
      <c r="C103" s="233" t="s">
        <v>116</v>
      </c>
      <c r="D103" s="234">
        <f>AVERAGE(E91:E94,G91:G94)</f>
        <v>52785356.217966072</v>
      </c>
      <c r="F103" s="170"/>
      <c r="G103" s="235"/>
      <c r="H103" s="150"/>
      <c r="J103" s="236"/>
    </row>
    <row r="104" spans="1:10" ht="18" x14ac:dyDescent="0.35">
      <c r="C104" s="200" t="s">
        <v>83</v>
      </c>
      <c r="D104" s="237">
        <f>STDEV(E91:E94,G91:G94)/D103</f>
        <v>5.9799263105394084E-3</v>
      </c>
      <c r="F104" s="170"/>
      <c r="G104" s="227"/>
      <c r="H104" s="150"/>
      <c r="J104" s="236"/>
    </row>
    <row r="105" spans="1:10" ht="19.5" customHeight="1" x14ac:dyDescent="0.35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6.25" customHeight="1" x14ac:dyDescent="0.45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5">
      <c r="A108" s="124" t="s">
        <v>121</v>
      </c>
      <c r="B108" s="125">
        <v>1</v>
      </c>
      <c r="C108" s="243">
        <v>1</v>
      </c>
      <c r="D108" s="244">
        <v>45687281</v>
      </c>
      <c r="E108" s="273">
        <f t="shared" ref="E108:E113" si="1">IF(ISBLANK(D108),"-",D108/$D$103*$D$100*$B$116)</f>
        <v>129.82941938861964</v>
      </c>
      <c r="F108" s="245">
        <f>IF(ISBLANK(D108), "-", E108/$B$56)</f>
        <v>0.86552946259079766</v>
      </c>
    </row>
    <row r="109" spans="1:10" ht="26.25" customHeight="1" x14ac:dyDescent="0.45">
      <c r="A109" s="124" t="s">
        <v>94</v>
      </c>
      <c r="B109" s="125">
        <v>1</v>
      </c>
      <c r="C109" s="243">
        <v>2</v>
      </c>
      <c r="D109" s="244">
        <v>49023374</v>
      </c>
      <c r="E109" s="274">
        <f t="shared" si="1"/>
        <v>139.30958559103468</v>
      </c>
      <c r="F109" s="246">
        <f>IF(ISBLANK(D109), "-", E109/$B$56)</f>
        <v>0.92873057060689779</v>
      </c>
    </row>
    <row r="110" spans="1:10" ht="26.25" customHeight="1" x14ac:dyDescent="0.45">
      <c r="A110" s="124" t="s">
        <v>95</v>
      </c>
      <c r="B110" s="125">
        <v>1</v>
      </c>
      <c r="C110" s="243">
        <v>3</v>
      </c>
      <c r="D110" s="244">
        <v>45534301</v>
      </c>
      <c r="E110" s="274">
        <f t="shared" si="1"/>
        <v>129.39469654796579</v>
      </c>
      <c r="F110" s="246">
        <f>IF(ISBLANK(D110), "-", E110/$B$56)</f>
        <v>0.86263131031977192</v>
      </c>
    </row>
    <row r="111" spans="1:10" ht="26.25" customHeight="1" x14ac:dyDescent="0.45">
      <c r="A111" s="124" t="s">
        <v>96</v>
      </c>
      <c r="B111" s="125">
        <v>1</v>
      </c>
      <c r="C111" s="243">
        <v>4</v>
      </c>
      <c r="D111" s="244">
        <v>46150394</v>
      </c>
      <c r="E111" s="274">
        <f t="shared" si="1"/>
        <v>131.14544631307862</v>
      </c>
      <c r="F111" s="246">
        <f>IF(ISBLANK(D111), "-", E111/$B$56)</f>
        <v>0.87430297542052415</v>
      </c>
    </row>
    <row r="112" spans="1:10" ht="26.25" customHeight="1" x14ac:dyDescent="0.45">
      <c r="A112" s="124" t="s">
        <v>97</v>
      </c>
      <c r="B112" s="125">
        <v>1</v>
      </c>
      <c r="C112" s="243">
        <v>5</v>
      </c>
      <c r="D112" s="244">
        <v>46233342</v>
      </c>
      <c r="E112" s="274">
        <f t="shared" si="1"/>
        <v>131.3811594140497</v>
      </c>
      <c r="F112" s="246">
        <f>IF(ISBLANK(D112), "-", E112/$B$56)</f>
        <v>0.87587439609366469</v>
      </c>
    </row>
    <row r="113" spans="1:10" ht="26.25" customHeight="1" x14ac:dyDescent="0.45">
      <c r="A113" s="124" t="s">
        <v>99</v>
      </c>
      <c r="B113" s="125">
        <v>1</v>
      </c>
      <c r="C113" s="247">
        <v>6</v>
      </c>
      <c r="D113" s="248">
        <v>48943924</v>
      </c>
      <c r="E113" s="275">
        <f t="shared" si="1"/>
        <v>139.08381274693775</v>
      </c>
      <c r="F113" s="249">
        <f>IF(ISBLANK(D113), "-", E113/$B$56)</f>
        <v>0.92722541831291838</v>
      </c>
    </row>
    <row r="114" spans="1:10" ht="26.25" customHeight="1" x14ac:dyDescent="0.45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5">
      <c r="A115" s="124" t="s">
        <v>101</v>
      </c>
      <c r="B115" s="125">
        <v>1</v>
      </c>
      <c r="C115" s="243"/>
      <c r="D115" s="514" t="s">
        <v>70</v>
      </c>
      <c r="E115" s="277">
        <f>AVERAGE(E108:E113)</f>
        <v>133.35735333361438</v>
      </c>
      <c r="F115" s="251">
        <f>AVERAGE(F108:F113)</f>
        <v>0.88904902222409576</v>
      </c>
    </row>
    <row r="116" spans="1:10" ht="27" customHeight="1" x14ac:dyDescent="0.45">
      <c r="A116" s="124" t="s">
        <v>102</v>
      </c>
      <c r="B116" s="156">
        <f>(B115/B114)*(B113/B112)*(B111/B110)*(B109/B108)*B107</f>
        <v>900</v>
      </c>
      <c r="C116" s="252"/>
      <c r="D116" s="515" t="s">
        <v>83</v>
      </c>
      <c r="E116" s="253">
        <f>STDEV(E108:E113)/E115</f>
        <v>3.4390647266839519E-2</v>
      </c>
      <c r="F116" s="253">
        <f>STDEV(F108:F113)/F115</f>
        <v>3.4390647266839519E-2</v>
      </c>
      <c r="I116" s="98"/>
    </row>
    <row r="117" spans="1:10" ht="27" customHeight="1" x14ac:dyDescent="0.45">
      <c r="A117" s="492" t="s">
        <v>77</v>
      </c>
      <c r="B117" s="493"/>
      <c r="C117" s="254"/>
      <c r="D117" s="516" t="s">
        <v>19</v>
      </c>
      <c r="E117" s="255">
        <f>COUNT(E108:E113)</f>
        <v>6</v>
      </c>
      <c r="F117" s="255">
        <f>COUNT(F108:F113)</f>
        <v>6</v>
      </c>
      <c r="I117" s="98"/>
      <c r="J117" s="236"/>
    </row>
    <row r="118" spans="1:10" ht="19.5" customHeight="1" x14ac:dyDescent="0.35">
      <c r="A118" s="494"/>
      <c r="B118" s="495"/>
      <c r="C118" s="98"/>
      <c r="D118" s="98"/>
      <c r="E118" s="98"/>
      <c r="F118" s="197"/>
      <c r="G118" s="98"/>
      <c r="H118" s="98"/>
      <c r="I118" s="98"/>
    </row>
    <row r="119" spans="1:10" ht="18" x14ac:dyDescent="0.35">
      <c r="A119" s="264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5">
      <c r="A120" s="108" t="s">
        <v>105</v>
      </c>
      <c r="B120" s="204" t="s">
        <v>122</v>
      </c>
      <c r="C120" s="504" t="str">
        <f>B20</f>
        <v xml:space="preserve">Rifampicin </v>
      </c>
      <c r="D120" s="504"/>
      <c r="E120" s="205" t="s">
        <v>123</v>
      </c>
      <c r="F120" s="205"/>
      <c r="G120" s="206">
        <f>F115</f>
        <v>0.88904902222409576</v>
      </c>
      <c r="H120" s="98"/>
      <c r="I120" s="98"/>
    </row>
    <row r="121" spans="1:10" ht="19.5" customHeight="1" x14ac:dyDescent="0.35">
      <c r="A121" s="256"/>
      <c r="B121" s="256"/>
      <c r="C121" s="257"/>
      <c r="D121" s="257"/>
      <c r="E121" s="257"/>
      <c r="F121" s="257"/>
      <c r="G121" s="257"/>
      <c r="H121" s="257"/>
    </row>
    <row r="122" spans="1:10" ht="18" x14ac:dyDescent="0.35">
      <c r="B122" s="505" t="s">
        <v>25</v>
      </c>
      <c r="C122" s="505"/>
      <c r="E122" s="211" t="s">
        <v>26</v>
      </c>
      <c r="F122" s="258"/>
      <c r="G122" s="505" t="s">
        <v>27</v>
      </c>
      <c r="H122" s="505"/>
    </row>
    <row r="123" spans="1:10" ht="69.900000000000006" customHeight="1" x14ac:dyDescent="0.35">
      <c r="A123" s="259" t="s">
        <v>28</v>
      </c>
      <c r="B123" s="260"/>
      <c r="C123" s="260"/>
      <c r="E123" s="260"/>
      <c r="F123" s="98"/>
      <c r="G123" s="261"/>
      <c r="H123" s="261"/>
    </row>
    <row r="124" spans="1:10" ht="69.900000000000006" customHeight="1" x14ac:dyDescent="0.35">
      <c r="A124" s="259" t="s">
        <v>29</v>
      </c>
      <c r="B124" s="262"/>
      <c r="C124" s="262"/>
      <c r="E124" s="262"/>
      <c r="F124" s="98"/>
      <c r="G124" s="263"/>
      <c r="H124" s="263"/>
    </row>
    <row r="125" spans="1:10" ht="18" x14ac:dyDescent="0.3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" x14ac:dyDescent="0.3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" x14ac:dyDescent="0.3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" x14ac:dyDescent="0.3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" x14ac:dyDescent="0.3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" x14ac:dyDescent="0.3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" x14ac:dyDescent="0.3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" x14ac:dyDescent="0.3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" x14ac:dyDescent="0.3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6" workbookViewId="0">
      <selection activeCell="B29" sqref="B29"/>
    </sheetView>
  </sheetViews>
  <sheetFormatPr defaultColWidth="9.109375" defaultRowHeight="13.8" x14ac:dyDescent="0.3"/>
  <cols>
    <col min="1" max="1" width="27.5546875" style="408" customWidth="1"/>
    <col min="2" max="2" width="20.44140625" style="408" customWidth="1"/>
    <col min="3" max="3" width="31.88671875" style="408" customWidth="1"/>
    <col min="4" max="4" width="25.88671875" style="408" customWidth="1"/>
    <col min="5" max="5" width="25.6640625" style="408" customWidth="1"/>
    <col min="6" max="6" width="23.109375" style="408" customWidth="1"/>
    <col min="7" max="7" width="28.44140625" style="408" customWidth="1"/>
    <col min="8" max="8" width="21.5546875" style="408" customWidth="1"/>
    <col min="9" max="9" width="9.109375" style="408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124</v>
      </c>
      <c r="D17" s="9"/>
      <c r="E17" s="72"/>
    </row>
    <row r="18" spans="1:5" ht="16.5" customHeight="1" x14ac:dyDescent="0.3">
      <c r="A18" s="75" t="s">
        <v>4</v>
      </c>
      <c r="B18" s="9" t="s">
        <v>125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9.86</v>
      </c>
      <c r="C20" s="72"/>
      <c r="D20" s="72"/>
      <c r="E20" s="72"/>
    </row>
    <row r="21" spans="1:5" ht="16.5" customHeight="1" x14ac:dyDescent="0.3">
      <c r="A21" s="8" t="s">
        <v>10</v>
      </c>
      <c r="B21" s="13">
        <v>9.8599999999999993E-2</v>
      </c>
      <c r="C21" s="72"/>
      <c r="D21" s="72"/>
      <c r="E21" s="72"/>
    </row>
    <row r="22" spans="1:5" ht="15.75" customHeight="1" x14ac:dyDescent="0.3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33597672</v>
      </c>
      <c r="C24" s="18">
        <v>8023.47</v>
      </c>
      <c r="D24" s="19">
        <v>1.08</v>
      </c>
      <c r="E24" s="20">
        <v>2.75</v>
      </c>
    </row>
    <row r="25" spans="1:5" ht="16.5" customHeight="1" x14ac:dyDescent="0.3">
      <c r="A25" s="17">
        <v>2</v>
      </c>
      <c r="B25" s="18">
        <v>33666020</v>
      </c>
      <c r="C25" s="18">
        <v>7956.13</v>
      </c>
      <c r="D25" s="19">
        <v>1.1200000000000001</v>
      </c>
      <c r="E25" s="19">
        <v>2.75</v>
      </c>
    </row>
    <row r="26" spans="1:5" ht="16.5" customHeight="1" x14ac:dyDescent="0.3">
      <c r="A26" s="17">
        <v>3</v>
      </c>
      <c r="B26" s="18">
        <v>33694972</v>
      </c>
      <c r="C26" s="18">
        <v>7972.7</v>
      </c>
      <c r="D26" s="19">
        <v>1.08</v>
      </c>
      <c r="E26" s="19">
        <v>2.75</v>
      </c>
    </row>
    <row r="27" spans="1:5" ht="16.5" customHeight="1" x14ac:dyDescent="0.3">
      <c r="A27" s="17">
        <v>4</v>
      </c>
      <c r="B27" s="18">
        <v>33741699</v>
      </c>
      <c r="C27" s="18">
        <v>7921.47</v>
      </c>
      <c r="D27" s="19">
        <v>1.0900000000000001</v>
      </c>
      <c r="E27" s="19">
        <v>2.75</v>
      </c>
    </row>
    <row r="28" spans="1:5" ht="16.5" customHeight="1" x14ac:dyDescent="0.3">
      <c r="A28" s="17">
        <v>5</v>
      </c>
      <c r="B28" s="18">
        <v>33717156</v>
      </c>
      <c r="C28" s="18">
        <v>7915.38</v>
      </c>
      <c r="D28" s="19">
        <v>1.07</v>
      </c>
      <c r="E28" s="19">
        <v>2.75</v>
      </c>
    </row>
    <row r="29" spans="1:5" ht="16.5" customHeight="1" x14ac:dyDescent="0.3">
      <c r="A29" s="17">
        <v>6</v>
      </c>
      <c r="B29" s="21">
        <v>33742482</v>
      </c>
      <c r="C29" s="21">
        <v>7899.14</v>
      </c>
      <c r="D29" s="22">
        <v>1.1200000000000001</v>
      </c>
      <c r="E29" s="22">
        <v>2.75</v>
      </c>
    </row>
    <row r="30" spans="1:5" ht="16.5" customHeight="1" x14ac:dyDescent="0.3">
      <c r="A30" s="23" t="s">
        <v>17</v>
      </c>
      <c r="B30" s="24">
        <f>AVERAGE(B24:B29)</f>
        <v>33693333.5</v>
      </c>
      <c r="C30" s="25">
        <f>AVERAGE(C24:C29)</f>
        <v>7948.0483333333332</v>
      </c>
      <c r="D30" s="26">
        <f>AVERAGE(D24:D29)</f>
        <v>1.0933333333333335</v>
      </c>
      <c r="E30" s="26">
        <f>AVERAGE(E24:E29)</f>
        <v>2.75</v>
      </c>
    </row>
    <row r="31" spans="1:5" ht="16.5" customHeight="1" x14ac:dyDescent="0.3">
      <c r="A31" s="27" t="s">
        <v>18</v>
      </c>
      <c r="B31" s="28">
        <f>(STDEV(B24:B29)/B30)</f>
        <v>1.6376040795256486E-3</v>
      </c>
      <c r="C31" s="29"/>
      <c r="D31" s="29"/>
      <c r="E31" s="30"/>
    </row>
    <row r="32" spans="1:5" s="408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3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08" customFormat="1" ht="16.5" customHeight="1" x14ac:dyDescent="0.3">
      <c r="A53" s="31" t="s">
        <v>19</v>
      </c>
      <c r="B53" s="32">
        <f>COUNT(B45:B50)</f>
        <v>0</v>
      </c>
      <c r="C53" s="33"/>
      <c r="D53" s="73"/>
      <c r="E53" s="35"/>
    </row>
    <row r="54" spans="1:7" s="408" customFormat="1" ht="15.75" customHeight="1" x14ac:dyDescent="0.3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5">
      <c r="A58" s="41"/>
      <c r="B58" s="331"/>
      <c r="D58" s="43"/>
      <c r="F58" s="44"/>
      <c r="G58" s="44"/>
    </row>
    <row r="59" spans="1:7" ht="15" customHeight="1" x14ac:dyDescent="0.3">
      <c r="B59" s="465" t="s">
        <v>25</v>
      </c>
      <c r="C59" s="465"/>
      <c r="E59" s="462" t="s">
        <v>26</v>
      </c>
      <c r="F59" s="46"/>
      <c r="G59" s="462" t="s">
        <v>27</v>
      </c>
    </row>
    <row r="60" spans="1:7" ht="15" customHeight="1" x14ac:dyDescent="0.3">
      <c r="A60" s="47" t="s">
        <v>28</v>
      </c>
      <c r="B60" s="49" t="s">
        <v>126</v>
      </c>
      <c r="C60" s="49"/>
      <c r="E60" s="49" t="s">
        <v>127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97" zoomScale="80" zoomScaleNormal="80" zoomScalePageLayoutView="50" workbookViewId="0">
      <selection activeCell="D103" sqref="D10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02" t="s">
        <v>44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3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3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3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3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3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3">
      <c r="A8" s="503" t="s">
        <v>45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3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3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3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3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3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3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5">
      <c r="A15" s="279"/>
    </row>
    <row r="16" spans="1:9" ht="19.5" customHeight="1" x14ac:dyDescent="0.35">
      <c r="A16" s="475" t="s">
        <v>30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3">
      <c r="A17" s="478" t="s">
        <v>46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5">
      <c r="A18" s="281" t="s">
        <v>32</v>
      </c>
      <c r="B18" s="513" t="s">
        <v>133</v>
      </c>
      <c r="C18" s="513"/>
      <c r="D18" s="448"/>
      <c r="E18" s="282"/>
      <c r="F18" s="283"/>
      <c r="G18" s="283"/>
      <c r="H18" s="283"/>
    </row>
    <row r="19" spans="1:14" ht="26.25" customHeight="1" x14ac:dyDescent="0.5">
      <c r="A19" s="281" t="s">
        <v>33</v>
      </c>
      <c r="B19" s="284" t="s">
        <v>7</v>
      </c>
      <c r="C19" s="461">
        <v>29</v>
      </c>
      <c r="D19" s="283"/>
      <c r="E19" s="283"/>
      <c r="F19" s="283"/>
      <c r="G19" s="283"/>
      <c r="H19" s="283"/>
    </row>
    <row r="20" spans="1:14" ht="26.25" customHeight="1" x14ac:dyDescent="0.5">
      <c r="A20" s="281" t="s">
        <v>34</v>
      </c>
      <c r="B20" s="479" t="s">
        <v>131</v>
      </c>
      <c r="C20" s="479"/>
      <c r="D20" s="283"/>
      <c r="E20" s="283"/>
      <c r="F20" s="283"/>
      <c r="G20" s="283"/>
      <c r="H20" s="283"/>
    </row>
    <row r="21" spans="1:14" ht="26.25" customHeight="1" x14ac:dyDescent="0.5">
      <c r="A21" s="281" t="s">
        <v>35</v>
      </c>
      <c r="B21" s="479" t="s">
        <v>9</v>
      </c>
      <c r="C21" s="479"/>
      <c r="D21" s="479"/>
      <c r="E21" s="479"/>
      <c r="F21" s="479"/>
      <c r="G21" s="479"/>
      <c r="H21" s="479"/>
      <c r="I21" s="285"/>
    </row>
    <row r="22" spans="1:14" ht="26.25" customHeight="1" x14ac:dyDescent="0.5">
      <c r="A22" s="281" t="s">
        <v>36</v>
      </c>
      <c r="B22" s="286">
        <v>42531</v>
      </c>
      <c r="C22" s="283"/>
      <c r="D22" s="283"/>
      <c r="E22" s="283"/>
      <c r="F22" s="283"/>
      <c r="G22" s="283"/>
      <c r="H22" s="283"/>
    </row>
    <row r="23" spans="1:14" ht="26.25" customHeight="1" x14ac:dyDescent="0.5">
      <c r="A23" s="281" t="s">
        <v>37</v>
      </c>
      <c r="B23" s="286">
        <v>42532</v>
      </c>
      <c r="C23" s="283"/>
      <c r="D23" s="283"/>
      <c r="E23" s="283"/>
      <c r="F23" s="283"/>
      <c r="G23" s="283"/>
      <c r="H23" s="283"/>
    </row>
    <row r="24" spans="1:14" ht="18" x14ac:dyDescent="0.35">
      <c r="A24" s="281"/>
      <c r="B24" s="287"/>
    </row>
    <row r="25" spans="1:14" ht="18" x14ac:dyDescent="0.35">
      <c r="A25" s="288" t="s">
        <v>1</v>
      </c>
      <c r="B25" s="287"/>
    </row>
    <row r="26" spans="1:14" ht="26.25" customHeight="1" x14ac:dyDescent="0.45">
      <c r="A26" s="289" t="s">
        <v>4</v>
      </c>
      <c r="B26" s="474" t="s">
        <v>125</v>
      </c>
      <c r="C26" s="474"/>
    </row>
    <row r="27" spans="1:14" ht="26.25" customHeight="1" x14ac:dyDescent="0.5">
      <c r="A27" s="290" t="s">
        <v>47</v>
      </c>
      <c r="B27" s="480" t="s">
        <v>132</v>
      </c>
      <c r="C27" s="480"/>
    </row>
    <row r="28" spans="1:14" ht="27" customHeight="1" x14ac:dyDescent="0.45">
      <c r="A28" s="290" t="s">
        <v>6</v>
      </c>
      <c r="B28" s="291">
        <v>98.5</v>
      </c>
    </row>
    <row r="29" spans="1:14" s="14" customFormat="1" ht="27" customHeight="1" x14ac:dyDescent="0.5">
      <c r="A29" s="290" t="s">
        <v>48</v>
      </c>
      <c r="B29" s="292">
        <v>0</v>
      </c>
      <c r="C29" s="481" t="s">
        <v>49</v>
      </c>
      <c r="D29" s="482"/>
      <c r="E29" s="482"/>
      <c r="F29" s="482"/>
      <c r="G29" s="483"/>
      <c r="I29" s="293"/>
      <c r="J29" s="293"/>
      <c r="K29" s="293"/>
      <c r="L29" s="293"/>
    </row>
    <row r="30" spans="1:14" s="14" customFormat="1" ht="19.5" customHeight="1" x14ac:dyDescent="0.35">
      <c r="A30" s="290" t="s">
        <v>50</v>
      </c>
      <c r="B30" s="294">
        <f>B28-B29</f>
        <v>98.5</v>
      </c>
      <c r="C30" s="295"/>
      <c r="D30" s="295"/>
      <c r="E30" s="295"/>
      <c r="F30" s="295"/>
      <c r="G30" s="296"/>
      <c r="I30" s="293"/>
      <c r="J30" s="293"/>
      <c r="K30" s="293"/>
      <c r="L30" s="293"/>
    </row>
    <row r="31" spans="1:14" s="14" customFormat="1" ht="27" customHeight="1" x14ac:dyDescent="0.45">
      <c r="A31" s="290" t="s">
        <v>51</v>
      </c>
      <c r="B31" s="297">
        <v>1</v>
      </c>
      <c r="C31" s="484" t="s">
        <v>52</v>
      </c>
      <c r="D31" s="485"/>
      <c r="E31" s="485"/>
      <c r="F31" s="485"/>
      <c r="G31" s="485"/>
      <c r="H31" s="486"/>
      <c r="I31" s="293"/>
      <c r="J31" s="293"/>
      <c r="K31" s="293"/>
      <c r="L31" s="293"/>
    </row>
    <row r="32" spans="1:14" s="14" customFormat="1" ht="27" customHeight="1" x14ac:dyDescent="0.45">
      <c r="A32" s="290" t="s">
        <v>53</v>
      </c>
      <c r="B32" s="297">
        <v>1</v>
      </c>
      <c r="C32" s="484" t="s">
        <v>54</v>
      </c>
      <c r="D32" s="485"/>
      <c r="E32" s="485"/>
      <c r="F32" s="485"/>
      <c r="G32" s="485"/>
      <c r="H32" s="486"/>
      <c r="I32" s="293"/>
      <c r="J32" s="293"/>
      <c r="K32" s="293"/>
      <c r="L32" s="298"/>
      <c r="M32" s="298"/>
      <c r="N32" s="299"/>
    </row>
    <row r="33" spans="1:14" s="14" customFormat="1" ht="17.25" customHeight="1" x14ac:dyDescent="0.35">
      <c r="A33" s="290"/>
      <c r="B33" s="300"/>
      <c r="C33" s="301"/>
      <c r="D33" s="301"/>
      <c r="E33" s="301"/>
      <c r="F33" s="301"/>
      <c r="G33" s="301"/>
      <c r="H33" s="301"/>
      <c r="I33" s="293"/>
      <c r="J33" s="293"/>
      <c r="K33" s="293"/>
      <c r="L33" s="298"/>
      <c r="M33" s="298"/>
      <c r="N33" s="299"/>
    </row>
    <row r="34" spans="1:14" s="14" customFormat="1" ht="18" x14ac:dyDescent="0.35">
      <c r="A34" s="290" t="s">
        <v>55</v>
      </c>
      <c r="B34" s="302">
        <f>B31/B32</f>
        <v>1</v>
      </c>
      <c r="C34" s="280" t="s">
        <v>56</v>
      </c>
      <c r="D34" s="280"/>
      <c r="E34" s="280"/>
      <c r="F34" s="280"/>
      <c r="G34" s="280"/>
      <c r="I34" s="293"/>
      <c r="J34" s="293"/>
      <c r="K34" s="293"/>
      <c r="L34" s="298"/>
      <c r="M34" s="298"/>
      <c r="N34" s="299"/>
    </row>
    <row r="35" spans="1:14" s="14" customFormat="1" ht="19.5" customHeight="1" x14ac:dyDescent="0.35">
      <c r="A35" s="290"/>
      <c r="B35" s="294"/>
      <c r="G35" s="280"/>
      <c r="I35" s="293"/>
      <c r="J35" s="293"/>
      <c r="K35" s="293"/>
      <c r="L35" s="298"/>
      <c r="M35" s="298"/>
      <c r="N35" s="299"/>
    </row>
    <row r="36" spans="1:14" s="14" customFormat="1" ht="27" customHeight="1" x14ac:dyDescent="0.45">
      <c r="A36" s="303" t="s">
        <v>57</v>
      </c>
      <c r="B36" s="304">
        <v>100</v>
      </c>
      <c r="C36" s="280"/>
      <c r="D36" s="487" t="s">
        <v>58</v>
      </c>
      <c r="E36" s="488"/>
      <c r="F36" s="487" t="s">
        <v>59</v>
      </c>
      <c r="G36" s="489"/>
      <c r="J36" s="293"/>
      <c r="K36" s="293"/>
      <c r="L36" s="298"/>
      <c r="M36" s="298"/>
      <c r="N36" s="299"/>
    </row>
    <row r="37" spans="1:14" s="14" customFormat="1" ht="27" customHeight="1" x14ac:dyDescent="0.45">
      <c r="A37" s="305" t="s">
        <v>60</v>
      </c>
      <c r="B37" s="306">
        <v>1</v>
      </c>
      <c r="C37" s="307" t="s">
        <v>61</v>
      </c>
      <c r="D37" s="308" t="s">
        <v>62</v>
      </c>
      <c r="E37" s="309" t="s">
        <v>63</v>
      </c>
      <c r="F37" s="308" t="s">
        <v>62</v>
      </c>
      <c r="G37" s="310" t="s">
        <v>63</v>
      </c>
      <c r="I37" s="311" t="s">
        <v>64</v>
      </c>
      <c r="J37" s="293"/>
      <c r="K37" s="293"/>
      <c r="L37" s="298"/>
      <c r="M37" s="298"/>
      <c r="N37" s="299"/>
    </row>
    <row r="38" spans="1:14" s="14" customFormat="1" ht="26.25" customHeight="1" x14ac:dyDescent="0.45">
      <c r="A38" s="305" t="s">
        <v>65</v>
      </c>
      <c r="B38" s="306">
        <v>1</v>
      </c>
      <c r="C38" s="312">
        <v>1</v>
      </c>
      <c r="D38" s="313">
        <v>33672014</v>
      </c>
      <c r="E38" s="314">
        <f>IF(ISBLANK(D38),"-",$D$48/$D$45*D38)</f>
        <v>27736134.512618281</v>
      </c>
      <c r="F38" s="313">
        <v>27605097</v>
      </c>
      <c r="G38" s="315">
        <f>IF(ISBLANK(F38),"-",$D$48/$F$45*F38)</f>
        <v>27611309.544647548</v>
      </c>
      <c r="I38" s="316"/>
      <c r="J38" s="293"/>
      <c r="K38" s="293"/>
      <c r="L38" s="298"/>
      <c r="M38" s="298"/>
      <c r="N38" s="299"/>
    </row>
    <row r="39" spans="1:14" s="14" customFormat="1" ht="26.25" customHeight="1" x14ac:dyDescent="0.45">
      <c r="A39" s="305" t="s">
        <v>66</v>
      </c>
      <c r="B39" s="306">
        <v>1</v>
      </c>
      <c r="C39" s="317">
        <v>2</v>
      </c>
      <c r="D39" s="318">
        <v>33668892</v>
      </c>
      <c r="E39" s="319">
        <f>IF(ISBLANK(D39),"-",$D$48/$D$45*D39)</f>
        <v>27733562.875176329</v>
      </c>
      <c r="F39" s="318">
        <v>27617567</v>
      </c>
      <c r="G39" s="320">
        <f>IF(ISBLANK(F39),"-",$D$48/$F$45*F39)</f>
        <v>27623782.351028983</v>
      </c>
      <c r="I39" s="491">
        <f>ABS((F43/D43*D42)-F42)/D42</f>
        <v>3.3791889042000286E-3</v>
      </c>
      <c r="J39" s="293"/>
      <c r="K39" s="293"/>
      <c r="L39" s="298"/>
      <c r="M39" s="298"/>
      <c r="N39" s="299"/>
    </row>
    <row r="40" spans="1:14" ht="26.25" customHeight="1" x14ac:dyDescent="0.45">
      <c r="A40" s="305" t="s">
        <v>67</v>
      </c>
      <c r="B40" s="306">
        <v>1</v>
      </c>
      <c r="C40" s="317">
        <v>3</v>
      </c>
      <c r="D40" s="318">
        <v>33629878</v>
      </c>
      <c r="E40" s="319">
        <f>IF(ISBLANK(D40),"-",$D$48/$D$45*D40)</f>
        <v>27701426.468014129</v>
      </c>
      <c r="F40" s="318">
        <v>27588547</v>
      </c>
      <c r="G40" s="320">
        <f>IF(ISBLANK(F40),"-",$D$48/$F$45*F40)</f>
        <v>27594755.820059516</v>
      </c>
      <c r="I40" s="491"/>
      <c r="L40" s="298"/>
      <c r="M40" s="298"/>
      <c r="N40" s="321"/>
    </row>
    <row r="41" spans="1:14" ht="27" customHeight="1" x14ac:dyDescent="0.45">
      <c r="A41" s="305" t="s">
        <v>68</v>
      </c>
      <c r="B41" s="306">
        <v>1</v>
      </c>
      <c r="C41" s="322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I41" s="326"/>
      <c r="L41" s="298"/>
      <c r="M41" s="298"/>
      <c r="N41" s="321"/>
    </row>
    <row r="42" spans="1:14" ht="27" customHeight="1" x14ac:dyDescent="0.45">
      <c r="A42" s="305" t="s">
        <v>69</v>
      </c>
      <c r="B42" s="306">
        <v>1</v>
      </c>
      <c r="C42" s="327" t="s">
        <v>70</v>
      </c>
      <c r="D42" s="328">
        <f>AVERAGE(D38:D41)</f>
        <v>33656928</v>
      </c>
      <c r="E42" s="329">
        <f>AVERAGE(E38:E41)</f>
        <v>27723707.951936245</v>
      </c>
      <c r="F42" s="328">
        <f>AVERAGE(F38:F41)</f>
        <v>27603737</v>
      </c>
      <c r="G42" s="330">
        <f>AVERAGE(G38:G41)</f>
        <v>27609949.238578681</v>
      </c>
      <c r="H42" s="331"/>
    </row>
    <row r="43" spans="1:14" ht="26.25" customHeight="1" x14ac:dyDescent="0.45">
      <c r="A43" s="305" t="s">
        <v>71</v>
      </c>
      <c r="B43" s="306">
        <v>1</v>
      </c>
      <c r="C43" s="332" t="s">
        <v>72</v>
      </c>
      <c r="D43" s="333">
        <v>9.86</v>
      </c>
      <c r="E43" s="321"/>
      <c r="F43" s="333">
        <v>8.1199999999999992</v>
      </c>
      <c r="H43" s="331"/>
    </row>
    <row r="44" spans="1:14" ht="26.25" customHeight="1" x14ac:dyDescent="0.45">
      <c r="A44" s="305" t="s">
        <v>73</v>
      </c>
      <c r="B44" s="306">
        <v>1</v>
      </c>
      <c r="C44" s="334" t="s">
        <v>74</v>
      </c>
      <c r="D44" s="335">
        <f>D43*$B$34</f>
        <v>9.86</v>
      </c>
      <c r="E44" s="336"/>
      <c r="F44" s="335">
        <f>F43*$B$34</f>
        <v>8.1199999999999992</v>
      </c>
      <c r="H44" s="331"/>
    </row>
    <row r="45" spans="1:14" ht="19.5" customHeight="1" x14ac:dyDescent="0.35">
      <c r="A45" s="305" t="s">
        <v>75</v>
      </c>
      <c r="B45" s="337">
        <f>(B44/B43)*(B42/B41)*(B40/B39)*(B38/B37)*B36</f>
        <v>100</v>
      </c>
      <c r="C45" s="334" t="s">
        <v>76</v>
      </c>
      <c r="D45" s="338">
        <f>D44*$B$30/100</f>
        <v>9.7120999999999995</v>
      </c>
      <c r="E45" s="339"/>
      <c r="F45" s="338">
        <f>F44*$B$30/100</f>
        <v>7.9981999999999998</v>
      </c>
      <c r="H45" s="331"/>
    </row>
    <row r="46" spans="1:14" ht="19.5" customHeight="1" x14ac:dyDescent="0.35">
      <c r="A46" s="492" t="s">
        <v>77</v>
      </c>
      <c r="B46" s="493"/>
      <c r="C46" s="334" t="s">
        <v>78</v>
      </c>
      <c r="D46" s="340">
        <f>D45/$B$45</f>
        <v>9.7120999999999999E-2</v>
      </c>
      <c r="E46" s="341"/>
      <c r="F46" s="342">
        <f>F45/$B$45</f>
        <v>7.9981999999999998E-2</v>
      </c>
      <c r="H46" s="331"/>
    </row>
    <row r="47" spans="1:14" ht="27" customHeight="1" x14ac:dyDescent="0.45">
      <c r="A47" s="494"/>
      <c r="B47" s="495"/>
      <c r="C47" s="343" t="s">
        <v>79</v>
      </c>
      <c r="D47" s="344">
        <v>0.08</v>
      </c>
      <c r="E47" s="345"/>
      <c r="F47" s="341"/>
      <c r="H47" s="331"/>
    </row>
    <row r="48" spans="1:14" ht="18" x14ac:dyDescent="0.35">
      <c r="C48" s="346" t="s">
        <v>80</v>
      </c>
      <c r="D48" s="338">
        <f>D47*$B$45</f>
        <v>8</v>
      </c>
      <c r="F48" s="347"/>
      <c r="H48" s="331"/>
    </row>
    <row r="49" spans="1:12" ht="19.5" customHeight="1" x14ac:dyDescent="0.35">
      <c r="C49" s="348" t="s">
        <v>81</v>
      </c>
      <c r="D49" s="349">
        <f>D48/B34</f>
        <v>8</v>
      </c>
      <c r="F49" s="347"/>
      <c r="H49" s="331"/>
    </row>
    <row r="50" spans="1:12" ht="18" x14ac:dyDescent="0.35">
      <c r="C50" s="303" t="s">
        <v>82</v>
      </c>
      <c r="D50" s="350">
        <f>AVERAGE(E38:E41,G38:G41)</f>
        <v>27666828.595257461</v>
      </c>
      <c r="F50" s="351"/>
      <c r="H50" s="331"/>
    </row>
    <row r="51" spans="1:12" ht="18" x14ac:dyDescent="0.35">
      <c r="C51" s="305" t="s">
        <v>83</v>
      </c>
      <c r="D51" s="352">
        <f>STDEV(E38:E41,G38:G41)/D50</f>
        <v>2.3190838712229054E-3</v>
      </c>
      <c r="F51" s="351"/>
      <c r="H51" s="331"/>
    </row>
    <row r="52" spans="1:12" ht="19.5" customHeight="1" x14ac:dyDescent="0.35">
      <c r="C52" s="353" t="s">
        <v>19</v>
      </c>
      <c r="D52" s="354">
        <f>COUNT(E38:E41,G38:G41)</f>
        <v>6</v>
      </c>
      <c r="F52" s="351"/>
    </row>
    <row r="54" spans="1:12" ht="18" x14ac:dyDescent="0.35">
      <c r="A54" s="355" t="s">
        <v>1</v>
      </c>
      <c r="B54" s="356" t="s">
        <v>84</v>
      </c>
    </row>
    <row r="55" spans="1:12" ht="18" x14ac:dyDescent="0.35">
      <c r="A55" s="280" t="s">
        <v>85</v>
      </c>
      <c r="B55" s="357" t="str">
        <f>B21</f>
        <v>Rifampicin 150mg &amp; Isoniazid 75mg</v>
      </c>
    </row>
    <row r="56" spans="1:12" ht="26.25" customHeight="1" x14ac:dyDescent="0.45">
      <c r="A56" s="358" t="s">
        <v>86</v>
      </c>
      <c r="B56" s="359">
        <v>75</v>
      </c>
      <c r="C56" s="280" t="str">
        <f>B20</f>
        <v xml:space="preserve"> Isoniazid </v>
      </c>
      <c r="H56" s="360"/>
    </row>
    <row r="57" spans="1:12" ht="18" x14ac:dyDescent="0.35">
      <c r="A57" s="357" t="s">
        <v>87</v>
      </c>
      <c r="B57" s="449">
        <f>Uniformity!C46</f>
        <v>375.80299999999994</v>
      </c>
      <c r="D57" s="2">
        <f>B69/B57*B56</f>
        <v>7.9999999999999991</v>
      </c>
      <c r="H57" s="360"/>
    </row>
    <row r="58" spans="1:12" ht="19.5" customHeight="1" x14ac:dyDescent="0.35">
      <c r="H58" s="360"/>
    </row>
    <row r="59" spans="1:12" s="14" customFormat="1" ht="27" customHeight="1" x14ac:dyDescent="0.45">
      <c r="A59" s="303" t="s">
        <v>88</v>
      </c>
      <c r="B59" s="304">
        <v>100</v>
      </c>
      <c r="C59" s="280"/>
      <c r="D59" s="361" t="s">
        <v>89</v>
      </c>
      <c r="E59" s="362" t="s">
        <v>61</v>
      </c>
      <c r="F59" s="362" t="s">
        <v>62</v>
      </c>
      <c r="G59" s="362" t="s">
        <v>90</v>
      </c>
      <c r="H59" s="307" t="s">
        <v>91</v>
      </c>
      <c r="J59" s="408"/>
      <c r="K59" s="408"/>
      <c r="L59" s="293"/>
    </row>
    <row r="60" spans="1:12" s="14" customFormat="1" ht="26.25" customHeight="1" x14ac:dyDescent="0.45">
      <c r="A60" s="305" t="s">
        <v>92</v>
      </c>
      <c r="B60" s="306">
        <v>1</v>
      </c>
      <c r="C60" s="496" t="s">
        <v>93</v>
      </c>
      <c r="D60" s="499">
        <v>41.56</v>
      </c>
      <c r="E60" s="363">
        <v>1</v>
      </c>
      <c r="F60" s="364">
        <v>27167374</v>
      </c>
      <c r="G60" s="450">
        <f>IF(ISBLANK(F60),"-",(F60/$D$50*$D$47*$B$68)*($B$57/$D$60))</f>
        <v>71.033460556071773</v>
      </c>
      <c r="H60" s="365">
        <f t="shared" ref="H60:H71" si="0">IF(ISBLANK(F60),"-",G60/$B$56)</f>
        <v>0.94711280741429027</v>
      </c>
      <c r="J60" s="408"/>
      <c r="K60" s="408"/>
      <c r="L60" s="293"/>
    </row>
    <row r="61" spans="1:12" s="14" customFormat="1" ht="26.25" customHeight="1" x14ac:dyDescent="0.45">
      <c r="A61" s="305" t="s">
        <v>94</v>
      </c>
      <c r="B61" s="306">
        <v>1</v>
      </c>
      <c r="C61" s="497"/>
      <c r="D61" s="500"/>
      <c r="E61" s="366">
        <v>2</v>
      </c>
      <c r="F61" s="318">
        <v>27144352</v>
      </c>
      <c r="G61" s="451">
        <f>IF(ISBLANK(F61),"-",(F61/$D$50*$D$47*$B$68)*($B$57/$D$60))</f>
        <v>70.973265841303913</v>
      </c>
      <c r="H61" s="367">
        <f t="shared" si="0"/>
        <v>0.94631021121738546</v>
      </c>
      <c r="J61" s="408"/>
      <c r="K61" s="408"/>
      <c r="L61" s="293"/>
    </row>
    <row r="62" spans="1:12" s="14" customFormat="1" ht="26.25" customHeight="1" x14ac:dyDescent="0.45">
      <c r="A62" s="305" t="s">
        <v>95</v>
      </c>
      <c r="B62" s="306">
        <v>1</v>
      </c>
      <c r="C62" s="497"/>
      <c r="D62" s="500"/>
      <c r="E62" s="366">
        <v>3</v>
      </c>
      <c r="F62" s="368">
        <v>27127715</v>
      </c>
      <c r="G62" s="451">
        <f>IF(ISBLANK(F62),"-",(F62/$D$50*$D$47*$B$68)*($B$57/$D$60))</f>
        <v>70.929765734032912</v>
      </c>
      <c r="H62" s="367">
        <f t="shared" si="0"/>
        <v>0.94573020978710554</v>
      </c>
      <c r="J62" s="408"/>
      <c r="K62" s="408"/>
      <c r="L62" s="293"/>
    </row>
    <row r="63" spans="1:12" ht="27" customHeight="1" x14ac:dyDescent="0.45">
      <c r="A63" s="305" t="s">
        <v>96</v>
      </c>
      <c r="B63" s="306">
        <v>1</v>
      </c>
      <c r="C63" s="498"/>
      <c r="D63" s="501"/>
      <c r="E63" s="369">
        <v>4</v>
      </c>
      <c r="F63" s="370"/>
      <c r="G63" s="451" t="str">
        <f>IF(ISBLANK(F63),"-",(F63/$D$50*$D$47*$B$68)*($B$57/$D$60))</f>
        <v>-</v>
      </c>
      <c r="H63" s="367" t="str">
        <f t="shared" si="0"/>
        <v>-</v>
      </c>
    </row>
    <row r="64" spans="1:12" ht="26.25" customHeight="1" x14ac:dyDescent="0.45">
      <c r="A64" s="305" t="s">
        <v>97</v>
      </c>
      <c r="B64" s="306">
        <v>1</v>
      </c>
      <c r="C64" s="496" t="s">
        <v>98</v>
      </c>
      <c r="D64" s="499">
        <v>39.11</v>
      </c>
      <c r="E64" s="363">
        <v>1</v>
      </c>
      <c r="F64" s="364">
        <v>26324036</v>
      </c>
      <c r="G64" s="452">
        <f>IF(ISBLANK(F64),"-",(F64/$D$50*$D$47*$B$68)*($B$57/$D$64))</f>
        <v>73.140093350295061</v>
      </c>
      <c r="H64" s="371">
        <f t="shared" si="0"/>
        <v>0.97520124467060076</v>
      </c>
    </row>
    <row r="65" spans="1:8" ht="26.25" customHeight="1" x14ac:dyDescent="0.45">
      <c r="A65" s="305" t="s">
        <v>99</v>
      </c>
      <c r="B65" s="306">
        <v>1</v>
      </c>
      <c r="C65" s="497"/>
      <c r="D65" s="500"/>
      <c r="E65" s="366">
        <v>2</v>
      </c>
      <c r="F65" s="318">
        <v>26306595</v>
      </c>
      <c r="G65" s="453">
        <f>IF(ISBLANK(F65),"-",(F65/$D$50*$D$47*$B$68)*($B$57/$D$64))</f>
        <v>73.091634353805205</v>
      </c>
      <c r="H65" s="372">
        <f t="shared" si="0"/>
        <v>0.97455512471740269</v>
      </c>
    </row>
    <row r="66" spans="1:8" ht="26.25" customHeight="1" x14ac:dyDescent="0.45">
      <c r="A66" s="305" t="s">
        <v>100</v>
      </c>
      <c r="B66" s="306">
        <v>1</v>
      </c>
      <c r="C66" s="497"/>
      <c r="D66" s="500"/>
      <c r="E66" s="366">
        <v>3</v>
      </c>
      <c r="F66" s="318">
        <v>26307979</v>
      </c>
      <c r="G66" s="453">
        <f>IF(ISBLANK(F66),"-",(F66/$D$50*$D$47*$B$68)*($B$57/$D$64))</f>
        <v>73.095479732576038</v>
      </c>
      <c r="H66" s="372">
        <f t="shared" si="0"/>
        <v>0.97460639643434721</v>
      </c>
    </row>
    <row r="67" spans="1:8" ht="27" customHeight="1" x14ac:dyDescent="0.45">
      <c r="A67" s="305" t="s">
        <v>101</v>
      </c>
      <c r="B67" s="306">
        <v>1</v>
      </c>
      <c r="C67" s="498"/>
      <c r="D67" s="501"/>
      <c r="E67" s="369">
        <v>4</v>
      </c>
      <c r="F67" s="370"/>
      <c r="G67" s="454" t="str">
        <f>IF(ISBLANK(F67),"-",(F67/$D$50*$D$47*$B$68)*($B$57/$D$64))</f>
        <v>-</v>
      </c>
      <c r="H67" s="373" t="str">
        <f t="shared" si="0"/>
        <v>-</v>
      </c>
    </row>
    <row r="68" spans="1:8" ht="26.25" customHeight="1" x14ac:dyDescent="0.5">
      <c r="A68" s="305" t="s">
        <v>102</v>
      </c>
      <c r="B68" s="374">
        <f>(B67/B66)*(B65/B64)*(B63/B62)*(B61/B60)*B59</f>
        <v>100</v>
      </c>
      <c r="C68" s="496" t="s">
        <v>103</v>
      </c>
      <c r="D68" s="499">
        <v>40.65</v>
      </c>
      <c r="E68" s="363">
        <v>1</v>
      </c>
      <c r="F68" s="364">
        <v>27596577</v>
      </c>
      <c r="G68" s="452">
        <f>IF(ISBLANK(F68),"-",(F68/$D$50*$D$47*$B$68)*($B$57/$D$68))</f>
        <v>73.770973921481925</v>
      </c>
      <c r="H68" s="367">
        <f t="shared" si="0"/>
        <v>0.98361298561975896</v>
      </c>
    </row>
    <row r="69" spans="1:8" ht="27" customHeight="1" x14ac:dyDescent="0.5">
      <c r="A69" s="353" t="s">
        <v>104</v>
      </c>
      <c r="B69" s="375">
        <f>(D47*B68)/B56*B57</f>
        <v>40.085653333333326</v>
      </c>
      <c r="C69" s="497"/>
      <c r="D69" s="500"/>
      <c r="E69" s="366">
        <v>2</v>
      </c>
      <c r="F69" s="318">
        <v>27553537</v>
      </c>
      <c r="G69" s="453">
        <f>IF(ISBLANK(F69),"-",(F69/$D$50*$D$47*$B$68)*($B$57/$D$68))</f>
        <v>73.65591969872159</v>
      </c>
      <c r="H69" s="367">
        <f t="shared" si="0"/>
        <v>0.98207892931628782</v>
      </c>
    </row>
    <row r="70" spans="1:8" ht="26.25" customHeight="1" x14ac:dyDescent="0.45">
      <c r="A70" s="509" t="s">
        <v>77</v>
      </c>
      <c r="B70" s="510"/>
      <c r="C70" s="497"/>
      <c r="D70" s="500"/>
      <c r="E70" s="366">
        <v>3</v>
      </c>
      <c r="F70" s="318">
        <v>27574222</v>
      </c>
      <c r="G70" s="453">
        <f>IF(ISBLANK(F70),"-",(F70/$D$50*$D$47*$B$68)*($B$57/$D$68))</f>
        <v>73.711214694023582</v>
      </c>
      <c r="H70" s="367">
        <f t="shared" si="0"/>
        <v>0.98281619592031444</v>
      </c>
    </row>
    <row r="71" spans="1:8" ht="27" customHeight="1" x14ac:dyDescent="0.45">
      <c r="A71" s="511"/>
      <c r="B71" s="512"/>
      <c r="C71" s="508"/>
      <c r="D71" s="501"/>
      <c r="E71" s="369">
        <v>4</v>
      </c>
      <c r="F71" s="370"/>
      <c r="G71" s="454" t="str">
        <f>IF(ISBLANK(F71),"-",(F71/$D$50*$D$47*$B$68)*($B$57/$D$68))</f>
        <v>-</v>
      </c>
      <c r="H71" s="376" t="str">
        <f t="shared" si="0"/>
        <v>-</v>
      </c>
    </row>
    <row r="72" spans="1:8" ht="26.25" customHeight="1" x14ac:dyDescent="0.45">
      <c r="A72" s="377"/>
      <c r="B72" s="377"/>
      <c r="C72" s="377"/>
      <c r="D72" s="377"/>
      <c r="E72" s="377"/>
      <c r="F72" s="379" t="s">
        <v>70</v>
      </c>
      <c r="G72" s="459">
        <f>AVERAGE(G60:G71)</f>
        <v>72.600200875812448</v>
      </c>
      <c r="H72" s="380">
        <f>AVERAGE(H60:H71)</f>
        <v>0.96800267834416587</v>
      </c>
    </row>
    <row r="73" spans="1:8" ht="26.25" customHeight="1" x14ac:dyDescent="0.45">
      <c r="C73" s="377"/>
      <c r="D73" s="377"/>
      <c r="E73" s="377"/>
      <c r="F73" s="381" t="s">
        <v>83</v>
      </c>
      <c r="G73" s="455">
        <f>STDEV(G60:G71)/G72</f>
        <v>1.7141548977520283E-2</v>
      </c>
      <c r="H73" s="455">
        <f>STDEV(H60:H71)/H72</f>
        <v>1.7141548977520286E-2</v>
      </c>
    </row>
    <row r="74" spans="1:8" ht="27" customHeight="1" x14ac:dyDescent="0.45">
      <c r="A74" s="377"/>
      <c r="B74" s="377"/>
      <c r="C74" s="378"/>
      <c r="D74" s="378"/>
      <c r="E74" s="382"/>
      <c r="F74" s="383" t="s">
        <v>19</v>
      </c>
      <c r="G74" s="384">
        <f>COUNT(G60:G71)</f>
        <v>9</v>
      </c>
      <c r="H74" s="384">
        <f>COUNT(H60:H71)</f>
        <v>9</v>
      </c>
    </row>
    <row r="76" spans="1:8" ht="26.25" customHeight="1" x14ac:dyDescent="0.45">
      <c r="A76" s="289" t="s">
        <v>105</v>
      </c>
      <c r="B76" s="385" t="s">
        <v>106</v>
      </c>
      <c r="C76" s="504" t="str">
        <f>B20</f>
        <v xml:space="preserve"> Isoniazid </v>
      </c>
      <c r="D76" s="504"/>
      <c r="E76" s="386" t="s">
        <v>107</v>
      </c>
      <c r="F76" s="386"/>
      <c r="G76" s="387">
        <f>H72</f>
        <v>0.96800267834416587</v>
      </c>
      <c r="H76" s="388"/>
    </row>
    <row r="77" spans="1:8" ht="18" x14ac:dyDescent="0.35">
      <c r="A77" s="288" t="s">
        <v>108</v>
      </c>
      <c r="B77" s="288" t="s">
        <v>109</v>
      </c>
    </row>
    <row r="78" spans="1:8" ht="18" x14ac:dyDescent="0.35">
      <c r="A78" s="288"/>
      <c r="B78" s="288"/>
    </row>
    <row r="79" spans="1:8" ht="26.25" customHeight="1" x14ac:dyDescent="0.45">
      <c r="A79" s="289" t="s">
        <v>4</v>
      </c>
      <c r="B79" s="490" t="str">
        <f>B26</f>
        <v>Isoniazid</v>
      </c>
      <c r="C79" s="490"/>
    </row>
    <row r="80" spans="1:8" ht="26.25" customHeight="1" x14ac:dyDescent="0.45">
      <c r="A80" s="290" t="s">
        <v>47</v>
      </c>
      <c r="B80" s="490" t="str">
        <f>B27</f>
        <v>I8-5</v>
      </c>
      <c r="C80" s="490"/>
    </row>
    <row r="81" spans="1:12" ht="27" customHeight="1" x14ac:dyDescent="0.45">
      <c r="A81" s="290" t="s">
        <v>6</v>
      </c>
      <c r="B81" s="389">
        <v>98.5</v>
      </c>
    </row>
    <row r="82" spans="1:12" s="14" customFormat="1" ht="27" customHeight="1" x14ac:dyDescent="0.5">
      <c r="A82" s="290" t="s">
        <v>48</v>
      </c>
      <c r="B82" s="292">
        <v>0</v>
      </c>
      <c r="C82" s="481" t="s">
        <v>49</v>
      </c>
      <c r="D82" s="482"/>
      <c r="E82" s="482"/>
      <c r="F82" s="482"/>
      <c r="G82" s="483"/>
      <c r="I82" s="293"/>
      <c r="J82" s="293"/>
      <c r="K82" s="293"/>
      <c r="L82" s="293"/>
    </row>
    <row r="83" spans="1:12" s="14" customFormat="1" ht="19.5" customHeight="1" x14ac:dyDescent="0.35">
      <c r="A83" s="290" t="s">
        <v>50</v>
      </c>
      <c r="B83" s="294">
        <f>B81-B82</f>
        <v>98.5</v>
      </c>
      <c r="C83" s="295"/>
      <c r="D83" s="295"/>
      <c r="E83" s="295"/>
      <c r="F83" s="295"/>
      <c r="G83" s="296"/>
      <c r="I83" s="293"/>
      <c r="J83" s="293"/>
      <c r="K83" s="293"/>
      <c r="L83" s="293"/>
    </row>
    <row r="84" spans="1:12" s="14" customFormat="1" ht="27" customHeight="1" x14ac:dyDescent="0.45">
      <c r="A84" s="290" t="s">
        <v>51</v>
      </c>
      <c r="B84" s="297">
        <v>1</v>
      </c>
      <c r="C84" s="484" t="s">
        <v>110</v>
      </c>
      <c r="D84" s="485"/>
      <c r="E84" s="485"/>
      <c r="F84" s="485"/>
      <c r="G84" s="485"/>
      <c r="H84" s="486"/>
      <c r="I84" s="293"/>
      <c r="J84" s="293"/>
      <c r="K84" s="293"/>
      <c r="L84" s="293"/>
    </row>
    <row r="85" spans="1:12" s="14" customFormat="1" ht="27" customHeight="1" x14ac:dyDescent="0.45">
      <c r="A85" s="290" t="s">
        <v>53</v>
      </c>
      <c r="B85" s="297">
        <v>1</v>
      </c>
      <c r="C85" s="484" t="s">
        <v>111</v>
      </c>
      <c r="D85" s="485"/>
      <c r="E85" s="485"/>
      <c r="F85" s="485"/>
      <c r="G85" s="485"/>
      <c r="H85" s="486"/>
      <c r="I85" s="293"/>
      <c r="J85" s="293"/>
      <c r="K85" s="293"/>
      <c r="L85" s="293"/>
    </row>
    <row r="86" spans="1:12" s="14" customFormat="1" ht="18" x14ac:dyDescent="0.35">
      <c r="A86" s="290"/>
      <c r="B86" s="300"/>
      <c r="C86" s="301"/>
      <c r="D86" s="301"/>
      <c r="E86" s="301"/>
      <c r="F86" s="301"/>
      <c r="G86" s="301"/>
      <c r="H86" s="301"/>
      <c r="I86" s="293"/>
      <c r="J86" s="293"/>
      <c r="K86" s="293"/>
      <c r="L86" s="293"/>
    </row>
    <row r="87" spans="1:12" s="14" customFormat="1" ht="18" x14ac:dyDescent="0.35">
      <c r="A87" s="290" t="s">
        <v>55</v>
      </c>
      <c r="B87" s="302">
        <f>B84/B85</f>
        <v>1</v>
      </c>
      <c r="C87" s="280" t="s">
        <v>56</v>
      </c>
      <c r="D87" s="280"/>
      <c r="E87" s="280"/>
      <c r="F87" s="280"/>
      <c r="G87" s="280"/>
      <c r="I87" s="293"/>
      <c r="J87" s="293"/>
      <c r="K87" s="293"/>
      <c r="L87" s="293"/>
    </row>
    <row r="88" spans="1:12" ht="19.5" customHeight="1" x14ac:dyDescent="0.35">
      <c r="A88" s="288"/>
      <c r="B88" s="288"/>
    </row>
    <row r="89" spans="1:12" ht="27" customHeight="1" x14ac:dyDescent="0.45">
      <c r="A89" s="303" t="s">
        <v>57</v>
      </c>
      <c r="B89" s="304">
        <v>100</v>
      </c>
      <c r="D89" s="390" t="s">
        <v>58</v>
      </c>
      <c r="E89" s="391"/>
      <c r="F89" s="487" t="s">
        <v>59</v>
      </c>
      <c r="G89" s="489"/>
    </row>
    <row r="90" spans="1:12" ht="27" customHeight="1" x14ac:dyDescent="0.45">
      <c r="A90" s="305" t="s">
        <v>60</v>
      </c>
      <c r="B90" s="306">
        <v>1</v>
      </c>
      <c r="C90" s="392" t="s">
        <v>61</v>
      </c>
      <c r="D90" s="308" t="s">
        <v>62</v>
      </c>
      <c r="E90" s="309" t="s">
        <v>63</v>
      </c>
      <c r="F90" s="308" t="s">
        <v>62</v>
      </c>
      <c r="G90" s="393" t="s">
        <v>63</v>
      </c>
      <c r="I90" s="311" t="s">
        <v>64</v>
      </c>
    </row>
    <row r="91" spans="1:12" ht="26.25" customHeight="1" x14ac:dyDescent="0.45">
      <c r="A91" s="305" t="s">
        <v>65</v>
      </c>
      <c r="B91" s="306">
        <v>1</v>
      </c>
      <c r="C91" s="394">
        <v>1</v>
      </c>
      <c r="D91" s="313">
        <v>33672014</v>
      </c>
      <c r="E91" s="314">
        <f>IF(ISBLANK(D91),"-",$D$101/$D$98*D91)</f>
        <v>28891806.783977374</v>
      </c>
      <c r="F91" s="313">
        <v>27605097</v>
      </c>
      <c r="G91" s="315">
        <f>IF(ISBLANK(F91),"-",$D$101/$F$98*F91)</f>
        <v>28761780.775674522</v>
      </c>
      <c r="I91" s="316"/>
    </row>
    <row r="92" spans="1:12" ht="26.25" customHeight="1" x14ac:dyDescent="0.45">
      <c r="A92" s="305" t="s">
        <v>66</v>
      </c>
      <c r="B92" s="306">
        <v>1</v>
      </c>
      <c r="C92" s="378">
        <v>2</v>
      </c>
      <c r="D92" s="318">
        <v>33668892</v>
      </c>
      <c r="E92" s="319">
        <f>IF(ISBLANK(D92),"-",$D$101/$D$98*D92)</f>
        <v>28889127.99497534</v>
      </c>
      <c r="F92" s="318">
        <v>27617567</v>
      </c>
      <c r="G92" s="320">
        <f>IF(ISBLANK(F92),"-",$D$101/$F$98*F92)</f>
        <v>28774773.282321852</v>
      </c>
      <c r="I92" s="491">
        <f>ABS((F96/D96*D95)-F95)/D95</f>
        <v>3.3791889042000286E-3</v>
      </c>
    </row>
    <row r="93" spans="1:12" ht="26.25" customHeight="1" x14ac:dyDescent="0.45">
      <c r="A93" s="305" t="s">
        <v>67</v>
      </c>
      <c r="B93" s="306">
        <v>1</v>
      </c>
      <c r="C93" s="378">
        <v>3</v>
      </c>
      <c r="D93" s="318">
        <v>33629878</v>
      </c>
      <c r="E93" s="319">
        <f>IF(ISBLANK(D93),"-",$D$101/$D$98*D93)</f>
        <v>28855652.570848048</v>
      </c>
      <c r="F93" s="318">
        <v>27588547</v>
      </c>
      <c r="G93" s="320">
        <f>IF(ISBLANK(F93),"-",$D$101/$F$98*F93)</f>
        <v>28744537.312561989</v>
      </c>
      <c r="I93" s="491"/>
    </row>
    <row r="94" spans="1:12" ht="27" customHeight="1" x14ac:dyDescent="0.45">
      <c r="A94" s="305" t="s">
        <v>68</v>
      </c>
      <c r="B94" s="306">
        <v>1</v>
      </c>
      <c r="C94" s="395">
        <v>4</v>
      </c>
      <c r="D94" s="323"/>
      <c r="E94" s="324" t="str">
        <f>IF(ISBLANK(D94),"-",$D$101/$D$98*D94)</f>
        <v>-</v>
      </c>
      <c r="F94" s="396"/>
      <c r="G94" s="325" t="str">
        <f>IF(ISBLANK(F94),"-",$D$101/$F$98*F94)</f>
        <v>-</v>
      </c>
      <c r="I94" s="326"/>
    </row>
    <row r="95" spans="1:12" ht="27" customHeight="1" x14ac:dyDescent="0.45">
      <c r="A95" s="305" t="s">
        <v>69</v>
      </c>
      <c r="B95" s="306">
        <v>1</v>
      </c>
      <c r="C95" s="397" t="s">
        <v>70</v>
      </c>
      <c r="D95" s="398">
        <f>AVERAGE(D91:D94)</f>
        <v>33656928</v>
      </c>
      <c r="E95" s="329">
        <f>AVERAGE(E91:E94)</f>
        <v>28878862.449933589</v>
      </c>
      <c r="F95" s="399">
        <f>AVERAGE(F91:F94)</f>
        <v>27603737</v>
      </c>
      <c r="G95" s="400">
        <f>AVERAGE(G91:G94)</f>
        <v>28760363.790186122</v>
      </c>
    </row>
    <row r="96" spans="1:12" ht="26.25" customHeight="1" x14ac:dyDescent="0.45">
      <c r="A96" s="305" t="s">
        <v>71</v>
      </c>
      <c r="B96" s="291">
        <v>1</v>
      </c>
      <c r="C96" s="401" t="s">
        <v>112</v>
      </c>
      <c r="D96" s="402">
        <v>9.86</v>
      </c>
      <c r="E96" s="321"/>
      <c r="F96" s="333">
        <v>8.1199999999999992</v>
      </c>
    </row>
    <row r="97" spans="1:10" ht="26.25" customHeight="1" x14ac:dyDescent="0.45">
      <c r="A97" s="305" t="s">
        <v>73</v>
      </c>
      <c r="B97" s="291">
        <v>1</v>
      </c>
      <c r="C97" s="403" t="s">
        <v>113</v>
      </c>
      <c r="D97" s="404">
        <f>D96*$B$87</f>
        <v>9.86</v>
      </c>
      <c r="E97" s="336"/>
      <c r="F97" s="335">
        <f>F96*$B$87</f>
        <v>8.1199999999999992</v>
      </c>
    </row>
    <row r="98" spans="1:10" ht="19.5" customHeight="1" x14ac:dyDescent="0.35">
      <c r="A98" s="305" t="s">
        <v>75</v>
      </c>
      <c r="B98" s="405">
        <f>(B97/B96)*(B95/B94)*(B93/B92)*(B91/B90)*B89</f>
        <v>100</v>
      </c>
      <c r="C98" s="403" t="s">
        <v>114</v>
      </c>
      <c r="D98" s="406">
        <f>D97*$B$83/100</f>
        <v>9.7120999999999995</v>
      </c>
      <c r="E98" s="339"/>
      <c r="F98" s="338">
        <f>F97*$B$83/100</f>
        <v>7.9981999999999998</v>
      </c>
    </row>
    <row r="99" spans="1:10" ht="19.5" customHeight="1" x14ac:dyDescent="0.35">
      <c r="A99" s="492" t="s">
        <v>77</v>
      </c>
      <c r="B99" s="506"/>
      <c r="C99" s="403" t="s">
        <v>115</v>
      </c>
      <c r="D99" s="407">
        <f>D98/$B$98</f>
        <v>9.7120999999999999E-2</v>
      </c>
      <c r="E99" s="339"/>
      <c r="F99" s="342">
        <f>F98/$B$98</f>
        <v>7.9981999999999998E-2</v>
      </c>
      <c r="G99" s="408"/>
      <c r="H99" s="331"/>
    </row>
    <row r="100" spans="1:10" ht="19.5" customHeight="1" x14ac:dyDescent="0.35">
      <c r="A100" s="494"/>
      <c r="B100" s="507"/>
      <c r="C100" s="403" t="s">
        <v>79</v>
      </c>
      <c r="D100" s="409">
        <f>$B$56/$B$116</f>
        <v>8.3333333333333329E-2</v>
      </c>
      <c r="F100" s="347"/>
      <c r="G100" s="410"/>
      <c r="H100" s="331"/>
    </row>
    <row r="101" spans="1:10" ht="18" x14ac:dyDescent="0.35">
      <c r="C101" s="403" t="s">
        <v>80</v>
      </c>
      <c r="D101" s="404">
        <f>D100*$B$98</f>
        <v>8.3333333333333321</v>
      </c>
      <c r="F101" s="347"/>
      <c r="G101" s="408"/>
      <c r="H101" s="331"/>
    </row>
    <row r="102" spans="1:10" ht="19.5" customHeight="1" x14ac:dyDescent="0.35">
      <c r="C102" s="411" t="s">
        <v>81</v>
      </c>
      <c r="D102" s="412">
        <f>D101/B34</f>
        <v>8.3333333333333321</v>
      </c>
      <c r="F102" s="351"/>
      <c r="G102" s="408"/>
      <c r="H102" s="331"/>
      <c r="J102" s="413"/>
    </row>
    <row r="103" spans="1:10" ht="18" x14ac:dyDescent="0.35">
      <c r="C103" s="414" t="s">
        <v>116</v>
      </c>
      <c r="D103" s="415">
        <f>AVERAGE(E91:E94,G91:G94)</f>
        <v>28819613.120059852</v>
      </c>
      <c r="F103" s="351"/>
      <c r="G103" s="416"/>
      <c r="H103" s="331"/>
      <c r="J103" s="417"/>
    </row>
    <row r="104" spans="1:10" ht="18" x14ac:dyDescent="0.35">
      <c r="C104" s="381" t="s">
        <v>83</v>
      </c>
      <c r="D104" s="418">
        <f>STDEV(E91:E94,G91:G94)/D103</f>
        <v>2.31908387122298E-3</v>
      </c>
      <c r="F104" s="351"/>
      <c r="G104" s="408"/>
      <c r="H104" s="331"/>
      <c r="J104" s="417"/>
    </row>
    <row r="105" spans="1:10" ht="19.5" customHeight="1" x14ac:dyDescent="0.35">
      <c r="C105" s="383" t="s">
        <v>19</v>
      </c>
      <c r="D105" s="419">
        <f>COUNT(E91:E94,G91:G94)</f>
        <v>6</v>
      </c>
      <c r="F105" s="351"/>
      <c r="G105" s="408"/>
      <c r="H105" s="331"/>
      <c r="J105" s="417"/>
    </row>
    <row r="106" spans="1:10" ht="19.5" customHeight="1" x14ac:dyDescent="0.35">
      <c r="A106" s="355"/>
      <c r="B106" s="355"/>
      <c r="C106" s="355"/>
      <c r="D106" s="355"/>
      <c r="E106" s="355"/>
    </row>
    <row r="107" spans="1:10" ht="26.25" customHeight="1" x14ac:dyDescent="0.45">
      <c r="A107" s="303" t="s">
        <v>117</v>
      </c>
      <c r="B107" s="304">
        <v>900</v>
      </c>
      <c r="C107" s="420" t="s">
        <v>134</v>
      </c>
      <c r="D107" s="421" t="s">
        <v>62</v>
      </c>
      <c r="E107" s="422" t="s">
        <v>119</v>
      </c>
      <c r="F107" s="423" t="s">
        <v>120</v>
      </c>
    </row>
    <row r="108" spans="1:10" ht="26.25" customHeight="1" x14ac:dyDescent="0.45">
      <c r="A108" s="305" t="s">
        <v>121</v>
      </c>
      <c r="B108" s="306">
        <v>1</v>
      </c>
      <c r="C108" s="424">
        <v>1</v>
      </c>
      <c r="D108" s="425">
        <v>24488354</v>
      </c>
      <c r="E108" s="456">
        <f t="shared" ref="E108:E113" si="1">IF(ISBLANK(D108),"-",D108/$D$103*$D$100*$B$116)</f>
        <v>63.728355490019354</v>
      </c>
      <c r="F108" s="426">
        <f>IF(ISBLANK(D108), "-", E108/$B$56)</f>
        <v>0.84971140653359134</v>
      </c>
    </row>
    <row r="109" spans="1:10" ht="26.25" customHeight="1" x14ac:dyDescent="0.45">
      <c r="A109" s="305" t="s">
        <v>94</v>
      </c>
      <c r="B109" s="306">
        <v>1</v>
      </c>
      <c r="C109" s="424">
        <v>2</v>
      </c>
      <c r="D109" s="425">
        <v>26596578</v>
      </c>
      <c r="E109" s="457">
        <f t="shared" si="1"/>
        <v>69.214785836648232</v>
      </c>
      <c r="F109" s="427">
        <f>IF(ISBLANK(D109), "-", E109/$B$56)</f>
        <v>0.9228638111553098</v>
      </c>
    </row>
    <row r="110" spans="1:10" ht="26.25" customHeight="1" x14ac:dyDescent="0.45">
      <c r="A110" s="305" t="s">
        <v>95</v>
      </c>
      <c r="B110" s="306">
        <v>1</v>
      </c>
      <c r="C110" s="424">
        <v>3</v>
      </c>
      <c r="D110" s="425">
        <v>24461549</v>
      </c>
      <c r="E110" s="457">
        <f t="shared" si="1"/>
        <v>63.658598307935563</v>
      </c>
      <c r="F110" s="427">
        <f>IF(ISBLANK(D110), "-", E110/$B$56)</f>
        <v>0.84878131077247421</v>
      </c>
    </row>
    <row r="111" spans="1:10" ht="26.25" customHeight="1" x14ac:dyDescent="0.45">
      <c r="A111" s="305" t="s">
        <v>96</v>
      </c>
      <c r="B111" s="306">
        <v>1</v>
      </c>
      <c r="C111" s="424">
        <v>4</v>
      </c>
      <c r="D111" s="425">
        <v>25624211</v>
      </c>
      <c r="E111" s="457">
        <f t="shared" si="1"/>
        <v>66.684303394146625</v>
      </c>
      <c r="F111" s="427">
        <f>IF(ISBLANK(D111), "-", E111/$B$56)</f>
        <v>0.88912404525528832</v>
      </c>
    </row>
    <row r="112" spans="1:10" ht="26.25" customHeight="1" x14ac:dyDescent="0.45">
      <c r="A112" s="305" t="s">
        <v>97</v>
      </c>
      <c r="B112" s="306">
        <v>1</v>
      </c>
      <c r="C112" s="424">
        <v>5</v>
      </c>
      <c r="D112" s="425">
        <v>25590965</v>
      </c>
      <c r="E112" s="457">
        <f t="shared" si="1"/>
        <v>66.597784189686379</v>
      </c>
      <c r="F112" s="427">
        <f>IF(ISBLANK(D112), "-", E112/$B$56)</f>
        <v>0.88797045586248502</v>
      </c>
    </row>
    <row r="113" spans="1:10" ht="26.25" customHeight="1" x14ac:dyDescent="0.45">
      <c r="A113" s="305" t="s">
        <v>99</v>
      </c>
      <c r="B113" s="306">
        <v>1</v>
      </c>
      <c r="C113" s="428">
        <v>6</v>
      </c>
      <c r="D113" s="429">
        <v>26588368</v>
      </c>
      <c r="E113" s="458">
        <f t="shared" si="1"/>
        <v>69.193420178565475</v>
      </c>
      <c r="F113" s="430">
        <f>IF(ISBLANK(D113), "-", E113/$B$56)</f>
        <v>0.92257893571420635</v>
      </c>
    </row>
    <row r="114" spans="1:10" ht="26.25" customHeight="1" x14ac:dyDescent="0.45">
      <c r="A114" s="305" t="s">
        <v>100</v>
      </c>
      <c r="B114" s="306">
        <v>1</v>
      </c>
      <c r="C114" s="424"/>
      <c r="D114" s="378"/>
      <c r="E114" s="279"/>
      <c r="F114" s="431"/>
    </row>
    <row r="115" spans="1:10" ht="26.25" customHeight="1" x14ac:dyDescent="0.45">
      <c r="A115" s="305" t="s">
        <v>101</v>
      </c>
      <c r="B115" s="306">
        <v>1</v>
      </c>
      <c r="C115" s="424"/>
      <c r="D115" s="432" t="s">
        <v>70</v>
      </c>
      <c r="E115" s="460">
        <f>AVERAGE(E108:E113)</f>
        <v>66.512874566166929</v>
      </c>
      <c r="F115" s="433">
        <f>AVERAGE(F108:F113)</f>
        <v>0.88683832754889247</v>
      </c>
    </row>
    <row r="116" spans="1:10" ht="27" customHeight="1" x14ac:dyDescent="0.45">
      <c r="A116" s="305" t="s">
        <v>102</v>
      </c>
      <c r="B116" s="337">
        <f>(B115/B114)*(B113/B112)*(B111/B110)*(B109/B108)*B107</f>
        <v>900</v>
      </c>
      <c r="C116" s="434"/>
      <c r="D116" s="397" t="s">
        <v>83</v>
      </c>
      <c r="E116" s="435">
        <f>STDEV(E108:E113)/E115</f>
        <v>3.7085834789036438E-2</v>
      </c>
      <c r="F116" s="435">
        <f>STDEV(F108:F113)/F115</f>
        <v>3.7085834789036445E-2</v>
      </c>
      <c r="I116" s="279"/>
    </row>
    <row r="117" spans="1:10" ht="27" customHeight="1" x14ac:dyDescent="0.45">
      <c r="A117" s="492" t="s">
        <v>77</v>
      </c>
      <c r="B117" s="493"/>
      <c r="C117" s="436"/>
      <c r="D117" s="437" t="s">
        <v>19</v>
      </c>
      <c r="E117" s="438">
        <f>COUNT(E108:E113)</f>
        <v>6</v>
      </c>
      <c r="F117" s="438">
        <f>COUNT(F108:F113)</f>
        <v>6</v>
      </c>
      <c r="I117" s="279"/>
      <c r="J117" s="417"/>
    </row>
    <row r="118" spans="1:10" ht="19.5" customHeight="1" x14ac:dyDescent="0.35">
      <c r="A118" s="494"/>
      <c r="B118" s="495"/>
      <c r="C118" s="279"/>
      <c r="D118" s="279"/>
      <c r="E118" s="279"/>
      <c r="F118" s="378"/>
      <c r="G118" s="279"/>
      <c r="H118" s="279"/>
      <c r="I118" s="279"/>
    </row>
    <row r="119" spans="1:10" ht="18" x14ac:dyDescent="0.35">
      <c r="A119" s="447"/>
      <c r="B119" s="301"/>
      <c r="C119" s="279"/>
      <c r="D119" s="279"/>
      <c r="E119" s="279"/>
      <c r="F119" s="378"/>
      <c r="G119" s="279"/>
      <c r="H119" s="279"/>
      <c r="I119" s="279"/>
    </row>
    <row r="120" spans="1:10" ht="26.25" customHeight="1" x14ac:dyDescent="0.45">
      <c r="A120" s="289" t="s">
        <v>105</v>
      </c>
      <c r="B120" s="385" t="s">
        <v>122</v>
      </c>
      <c r="C120" s="504" t="str">
        <f>B20</f>
        <v xml:space="preserve"> Isoniazid </v>
      </c>
      <c r="D120" s="504"/>
      <c r="E120" s="386" t="s">
        <v>123</v>
      </c>
      <c r="F120" s="386"/>
      <c r="G120" s="387">
        <f>F115</f>
        <v>0.88683832754889247</v>
      </c>
      <c r="H120" s="279"/>
      <c r="I120" s="279"/>
    </row>
    <row r="121" spans="1:10" ht="19.5" customHeight="1" x14ac:dyDescent="0.35">
      <c r="A121" s="439"/>
      <c r="B121" s="439"/>
      <c r="C121" s="440"/>
      <c r="D121" s="440"/>
      <c r="E121" s="440"/>
      <c r="F121" s="440"/>
      <c r="G121" s="440"/>
      <c r="H121" s="440"/>
    </row>
    <row r="122" spans="1:10" ht="18" x14ac:dyDescent="0.35">
      <c r="B122" s="505" t="s">
        <v>25</v>
      </c>
      <c r="C122" s="505"/>
      <c r="E122" s="392" t="s">
        <v>26</v>
      </c>
      <c r="F122" s="441"/>
      <c r="G122" s="505" t="s">
        <v>27</v>
      </c>
      <c r="H122" s="505"/>
    </row>
    <row r="123" spans="1:10" ht="69.900000000000006" customHeight="1" x14ac:dyDescent="0.35">
      <c r="A123" s="442" t="s">
        <v>28</v>
      </c>
      <c r="B123" s="443"/>
      <c r="C123" s="443"/>
      <c r="E123" s="443"/>
      <c r="F123" s="279"/>
      <c r="G123" s="444"/>
      <c r="H123" s="444"/>
    </row>
    <row r="124" spans="1:10" ht="69.900000000000006" customHeight="1" x14ac:dyDescent="0.35">
      <c r="A124" s="442" t="s">
        <v>29</v>
      </c>
      <c r="B124" s="445"/>
      <c r="C124" s="445"/>
      <c r="E124" s="445"/>
      <c r="F124" s="279"/>
      <c r="G124" s="446"/>
      <c r="H124" s="446"/>
    </row>
    <row r="125" spans="1:10" ht="18" x14ac:dyDescent="0.35">
      <c r="A125" s="377"/>
      <c r="B125" s="377"/>
      <c r="C125" s="378"/>
      <c r="D125" s="378"/>
      <c r="E125" s="378"/>
      <c r="F125" s="382"/>
      <c r="G125" s="378"/>
      <c r="H125" s="378"/>
      <c r="I125" s="279"/>
    </row>
    <row r="126" spans="1:10" ht="18" x14ac:dyDescent="0.35">
      <c r="A126" s="377"/>
      <c r="B126" s="377"/>
      <c r="C126" s="378"/>
      <c r="D126" s="378"/>
      <c r="E126" s="378"/>
      <c r="F126" s="382"/>
      <c r="G126" s="378"/>
      <c r="H126" s="378"/>
      <c r="I126" s="279"/>
    </row>
    <row r="127" spans="1:10" ht="18" x14ac:dyDescent="0.35">
      <c r="A127" s="377"/>
      <c r="B127" s="377"/>
      <c r="C127" s="378"/>
      <c r="D127" s="378"/>
      <c r="E127" s="378"/>
      <c r="F127" s="382"/>
      <c r="G127" s="378"/>
      <c r="H127" s="378"/>
      <c r="I127" s="279"/>
    </row>
    <row r="128" spans="1:10" ht="18" x14ac:dyDescent="0.35">
      <c r="A128" s="377"/>
      <c r="B128" s="377"/>
      <c r="C128" s="378"/>
      <c r="D128" s="378"/>
      <c r="E128" s="378"/>
      <c r="F128" s="382"/>
      <c r="G128" s="378"/>
      <c r="H128" s="378"/>
      <c r="I128" s="279"/>
    </row>
    <row r="129" spans="1:9" ht="18" x14ac:dyDescent="0.35">
      <c r="A129" s="377"/>
      <c r="B129" s="377"/>
      <c r="C129" s="378"/>
      <c r="D129" s="378"/>
      <c r="E129" s="378"/>
      <c r="F129" s="382"/>
      <c r="G129" s="378"/>
      <c r="H129" s="378"/>
      <c r="I129" s="279"/>
    </row>
    <row r="130" spans="1:9" ht="18" x14ac:dyDescent="0.35">
      <c r="A130" s="377"/>
      <c r="B130" s="377"/>
      <c r="C130" s="378"/>
      <c r="D130" s="378"/>
      <c r="E130" s="378"/>
      <c r="F130" s="382"/>
      <c r="G130" s="378"/>
      <c r="H130" s="378"/>
      <c r="I130" s="279"/>
    </row>
    <row r="131" spans="1:9" ht="18" x14ac:dyDescent="0.35">
      <c r="A131" s="377"/>
      <c r="B131" s="377"/>
      <c r="C131" s="378"/>
      <c r="D131" s="378"/>
      <c r="E131" s="378"/>
      <c r="F131" s="382"/>
      <c r="G131" s="378"/>
      <c r="H131" s="378"/>
      <c r="I131" s="279"/>
    </row>
    <row r="132" spans="1:9" ht="18" x14ac:dyDescent="0.35">
      <c r="A132" s="377"/>
      <c r="B132" s="377"/>
      <c r="C132" s="378"/>
      <c r="D132" s="378"/>
      <c r="E132" s="378"/>
      <c r="F132" s="382"/>
      <c r="G132" s="378"/>
      <c r="H132" s="378"/>
      <c r="I132" s="279"/>
    </row>
    <row r="133" spans="1:9" ht="18" x14ac:dyDescent="0.35">
      <c r="A133" s="377"/>
      <c r="B133" s="377"/>
      <c r="C133" s="378"/>
      <c r="D133" s="378"/>
      <c r="E133" s="378"/>
      <c r="F133" s="382"/>
      <c r="G133" s="378"/>
      <c r="H133" s="378"/>
      <c r="I133" s="279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2016-06-13T16:13:04Z</cp:lastPrinted>
  <dcterms:created xsi:type="dcterms:W3CDTF">2005-07-05T10:19:27Z</dcterms:created>
  <dcterms:modified xsi:type="dcterms:W3CDTF">2016-06-21T16:07:53Z</dcterms:modified>
</cp:coreProperties>
</file>