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Isoniazid!$A$1:$I$124</definedName>
    <definedName name="_xlnm.Print_Area" localSheetId="2">Rifampicin!$A$1:$I$125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D100" i="4" s="1"/>
  <c r="B98" i="4"/>
  <c r="F95" i="4"/>
  <c r="D95" i="4"/>
  <c r="B87" i="4"/>
  <c r="F97" i="4" s="1"/>
  <c r="B83" i="4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I39" i="4"/>
  <c r="F44" i="4"/>
  <c r="F45" i="4" s="1"/>
  <c r="D49" i="4"/>
  <c r="D45" i="4"/>
  <c r="D46" i="4" s="1"/>
  <c r="D101" i="4"/>
  <c r="D102" i="4" s="1"/>
  <c r="I92" i="3"/>
  <c r="D101" i="3"/>
  <c r="D102" i="3" s="1"/>
  <c r="I39" i="3"/>
  <c r="D45" i="3"/>
  <c r="D46" i="3" s="1"/>
  <c r="F44" i="3"/>
  <c r="F45" i="3" s="1"/>
  <c r="G41" i="3" s="1"/>
  <c r="D49" i="3"/>
  <c r="G40" i="3"/>
  <c r="F98" i="4"/>
  <c r="F99" i="4" s="1"/>
  <c r="E38" i="3"/>
  <c r="E39" i="3"/>
  <c r="F98" i="3"/>
  <c r="G94" i="3" s="1"/>
  <c r="D27" i="2"/>
  <c r="D31" i="2"/>
  <c r="D35" i="2"/>
  <c r="D39" i="2"/>
  <c r="D43" i="2"/>
  <c r="C49" i="2"/>
  <c r="D24" i="2"/>
  <c r="D28" i="2"/>
  <c r="D32" i="2"/>
  <c r="D36" i="2"/>
  <c r="D40" i="2"/>
  <c r="D49" i="2"/>
  <c r="E41" i="3"/>
  <c r="B57" i="3"/>
  <c r="B69" i="3" s="1"/>
  <c r="B57" i="4"/>
  <c r="B69" i="4" s="1"/>
  <c r="D33" i="2"/>
  <c r="D37" i="2"/>
  <c r="D41" i="2"/>
  <c r="C50" i="2"/>
  <c r="D97" i="3"/>
  <c r="D98" i="3" s="1"/>
  <c r="E91" i="3" s="1"/>
  <c r="D97" i="4"/>
  <c r="D98" i="4" s="1"/>
  <c r="D99" i="4" s="1"/>
  <c r="D26" i="2"/>
  <c r="D30" i="2"/>
  <c r="D34" i="2"/>
  <c r="D38" i="2"/>
  <c r="D42" i="2"/>
  <c r="B49" i="2"/>
  <c r="G38" i="3"/>
  <c r="E40" i="3"/>
  <c r="F46" i="4" l="1"/>
  <c r="G39" i="4"/>
  <c r="G40" i="4"/>
  <c r="G38" i="4"/>
  <c r="G41" i="4"/>
  <c r="E40" i="4"/>
  <c r="E39" i="4"/>
  <c r="E38" i="4"/>
  <c r="E41" i="4"/>
  <c r="E94" i="4"/>
  <c r="E91" i="4"/>
  <c r="E93" i="4"/>
  <c r="E92" i="4"/>
  <c r="G93" i="3"/>
  <c r="G39" i="3"/>
  <c r="G42" i="3" s="1"/>
  <c r="F46" i="3"/>
  <c r="E42" i="3"/>
  <c r="G94" i="4"/>
  <c r="G93" i="4"/>
  <c r="D99" i="3"/>
  <c r="E93" i="3"/>
  <c r="E94" i="3"/>
  <c r="E92" i="3"/>
  <c r="G91" i="3"/>
  <c r="F99" i="3"/>
  <c r="G92" i="3"/>
  <c r="G92" i="4"/>
  <c r="G91" i="4"/>
  <c r="D52" i="4" l="1"/>
  <c r="G42" i="4"/>
  <c r="E42" i="4"/>
  <c r="D50" i="4"/>
  <c r="G68" i="4" s="1"/>
  <c r="H68" i="4" s="1"/>
  <c r="E95" i="4"/>
  <c r="D103" i="4"/>
  <c r="E112" i="4" s="1"/>
  <c r="F112" i="4" s="1"/>
  <c r="G95" i="4"/>
  <c r="D105" i="4"/>
  <c r="D105" i="3"/>
  <c r="D50" i="3"/>
  <c r="G68" i="3" s="1"/>
  <c r="H68" i="3" s="1"/>
  <c r="D52" i="3"/>
  <c r="D103" i="3"/>
  <c r="E110" i="3" s="1"/>
  <c r="F110" i="3" s="1"/>
  <c r="G95" i="3"/>
  <c r="E95" i="3"/>
  <c r="G70" i="4"/>
  <c r="H70" i="4" s="1"/>
  <c r="G63" i="3"/>
  <c r="H63" i="3" s="1"/>
  <c r="D51" i="3" l="1"/>
  <c r="G66" i="3"/>
  <c r="H66" i="3" s="1"/>
  <c r="D51" i="4"/>
  <c r="G61" i="4"/>
  <c r="H61" i="4" s="1"/>
  <c r="G63" i="4"/>
  <c r="H63" i="4" s="1"/>
  <c r="G65" i="4"/>
  <c r="H65" i="4" s="1"/>
  <c r="G64" i="4"/>
  <c r="H64" i="4" s="1"/>
  <c r="G60" i="4"/>
  <c r="H60" i="4" s="1"/>
  <c r="G69" i="4"/>
  <c r="H69" i="4" s="1"/>
  <c r="G66" i="4"/>
  <c r="H66" i="4" s="1"/>
  <c r="G67" i="4"/>
  <c r="H67" i="4" s="1"/>
  <c r="G62" i="4"/>
  <c r="H62" i="4" s="1"/>
  <c r="G71" i="4"/>
  <c r="H71" i="4" s="1"/>
  <c r="D104" i="4"/>
  <c r="E113" i="4"/>
  <c r="F113" i="4" s="1"/>
  <c r="E108" i="4"/>
  <c r="E109" i="4"/>
  <c r="F109" i="4" s="1"/>
  <c r="E110" i="4"/>
  <c r="F110" i="4" s="1"/>
  <c r="E111" i="4"/>
  <c r="F111" i="4" s="1"/>
  <c r="E112" i="3"/>
  <c r="F112" i="3" s="1"/>
  <c r="E111" i="3"/>
  <c r="F111" i="3" s="1"/>
  <c r="G60" i="3"/>
  <c r="G67" i="3"/>
  <c r="H67" i="3" s="1"/>
  <c r="G65" i="3"/>
  <c r="H65" i="3" s="1"/>
  <c r="G69" i="3"/>
  <c r="H69" i="3" s="1"/>
  <c r="G62" i="3"/>
  <c r="H62" i="3" s="1"/>
  <c r="G71" i="3"/>
  <c r="H71" i="3" s="1"/>
  <c r="G61" i="3"/>
  <c r="H61" i="3" s="1"/>
  <c r="G70" i="3"/>
  <c r="H70" i="3" s="1"/>
  <c r="G64" i="3"/>
  <c r="H64" i="3" s="1"/>
  <c r="E113" i="3"/>
  <c r="F113" i="3" s="1"/>
  <c r="E108" i="3"/>
  <c r="F108" i="3" s="1"/>
  <c r="D104" i="3"/>
  <c r="E109" i="3"/>
  <c r="F109" i="3" s="1"/>
  <c r="G72" i="4" l="1"/>
  <c r="G73" i="4" s="1"/>
  <c r="G74" i="4"/>
  <c r="E117" i="4"/>
  <c r="F108" i="4"/>
  <c r="F117" i="4" s="1"/>
  <c r="E115" i="4"/>
  <c r="E116" i="4" s="1"/>
  <c r="E115" i="3"/>
  <c r="E116" i="3" s="1"/>
  <c r="G74" i="3"/>
  <c r="G72" i="3"/>
  <c r="G73" i="3" s="1"/>
  <c r="H60" i="3"/>
  <c r="H72" i="3" s="1"/>
  <c r="E117" i="3"/>
  <c r="H74" i="4"/>
  <c r="H72" i="4"/>
  <c r="F117" i="3"/>
  <c r="F115" i="3"/>
  <c r="F115" i="4" l="1"/>
  <c r="G120" i="4" s="1"/>
  <c r="H74" i="3"/>
  <c r="G120" i="3"/>
  <c r="F116" i="3"/>
  <c r="G76" i="4"/>
  <c r="H73" i="4"/>
  <c r="G76" i="3"/>
  <c r="H73" i="3"/>
  <c r="F116" i="4" l="1"/>
</calcChain>
</file>

<file path=xl/sharedStrings.xml><?xml version="1.0" encoding="utf-8"?>
<sst xmlns="http://schemas.openxmlformats.org/spreadsheetml/2006/main" count="440" uniqueCount="133">
  <si>
    <t>HPLC System Suitability Report</t>
  </si>
  <si>
    <t>Analysis Data</t>
  </si>
  <si>
    <t>Assay</t>
  </si>
  <si>
    <t>Sample(s)</t>
  </si>
  <si>
    <t>Reference Substance:</t>
  </si>
  <si>
    <t>RIFAMPICIN 150MG &amp; ISONIAZID 75MG</t>
  </si>
  <si>
    <t>% age Purity:</t>
  </si>
  <si>
    <t>NDQD2016061096</t>
  </si>
  <si>
    <t>Weight (mg):</t>
  </si>
  <si>
    <t>Rifampicin 150mg &amp; Isoniazid 75mg</t>
  </si>
  <si>
    <t>Standard Conc (mg/mL):</t>
  </si>
  <si>
    <t>2016-06-09 15:35:37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</si>
  <si>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</si>
  <si>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</si>
  <si>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</si>
  <si>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</si>
  <si>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</si>
  <si>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</si>
  <si>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</si>
  <si>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</si>
  <si>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</si>
  <si>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</si>
  <si>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</si>
  <si>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</si>
  <si>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</si>
  <si>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</si>
  <si>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</si>
  <si>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</si>
  <si>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</si>
  <si>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</si>
  <si>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</si>
  <si>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</si>
  <si>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</si>
  <si>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</si>
  <si>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</si>
  <si>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</si>
  <si>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</si>
  <si>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</si>
  <si>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</si>
  <si>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</si>
  <si>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</si>
  <si>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</si>
  <si>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</si>
  <si>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</si>
  <si>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</si>
  <si>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</si>
  <si>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</si>
  <si>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</si>
  <si>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</si>
  <si>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</si>
  <si>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</si>
  <si>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</si>
  <si>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</si>
  <si>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</si>
  <si>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</si>
  <si>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</si>
  <si>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</si>
  <si>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</si>
  <si>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</si>
  <si>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</si>
  <si>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</si>
  <si>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</si>
  <si>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</si>
  <si>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</si>
  <si>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</si>
  <si>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</si>
  <si>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</si>
  <si>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</si>
  <si>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</si>
  <si>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</si>
  <si>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</si>
  <si>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</si>
  <si>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</si>
  <si>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</si>
  <si>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</si>
  <si>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</si>
  <si>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</si>
  <si>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</si>
  <si>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</si>
  <si>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</si>
  <si>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</si>
  <si>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</si>
  <si>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</si>
  <si>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</si>
  <si>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</si>
  <si>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</si>
  <si>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</si>
  <si>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</si>
  <si>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</si>
  <si>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</si>
  <si>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</si>
  <si>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</si>
  <si>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</si>
  <si>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</si>
  <si>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</si>
  <si>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</si>
  <si>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</si>
  <si>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</si>
  <si>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</si>
  <si>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</si>
  <si>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</si>
  <si>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</si>
  <si>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</si>
  <si>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</si>
  <si>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</si>
  <si>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</si>
  <si>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</si>
  <si>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</si>
  <si>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</si>
  <si>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</si>
  <si>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</si>
  <si>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</si>
  <si>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</si>
  <si>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</si>
  <si>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</si>
  <si>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</si>
  <si>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</si>
  <si>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</si>
  <si>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</si>
  <si>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</si>
  <si>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</si>
  <si>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</si>
  <si>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</si>
  <si>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</si>
  <si>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 and Isoniazid Tablets</t>
  </si>
  <si>
    <t>Isoniazid</t>
  </si>
  <si>
    <t>RUTTO/JOYFRIDA</t>
  </si>
  <si>
    <t>13/06/2016</t>
  </si>
  <si>
    <t>Rifampicin</t>
  </si>
  <si>
    <t xml:space="preserve">Rifampicin </t>
  </si>
  <si>
    <t>R5-1</t>
  </si>
  <si>
    <t xml:space="preserve"> Isoniazid 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</si>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</sst>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124</v>
      </c>
      <c r="D17" s="9"/>
      <c r="E17" s="10"/>
    </row>
    <row r="18" spans="1:6" ht="16.5" customHeight="1" x14ac:dyDescent="0.3">
      <c r="A18" s="11" t="s">
        <v>4</v>
      </c>
      <c r="B18" s="8" t="s">
        <v>128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0.17760000000000001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17</v>
      </c>
      <c r="B30" s="24">
        <f>AVERAGE(B24:B29)</f>
        <v>55529344.166666664</v>
      </c>
      <c r="C30" s="25">
        <f>AVERAGE(C24:C29)</f>
        <v>46012.235000000008</v>
      </c>
      <c r="D30" s="26">
        <f>AVERAGE(D24:D29)</f>
        <v>1.1466666666666665</v>
      </c>
      <c r="E30" s="26">
        <f>AVERAGE(E24:E29)</f>
        <v>8.4333333333333318</v>
      </c>
    </row>
    <row r="31" spans="1:6" ht="16.5" customHeight="1" x14ac:dyDescent="0.3">
      <c r="A31" s="27" t="s">
        <v>18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25</v>
      </c>
      <c r="C59" s="46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126</v>
      </c>
      <c r="C60" s="48"/>
      <c r="E60" s="48" t="s">
        <v>127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30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31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32</v>
      </c>
      <c r="B14" s="474"/>
      <c r="C14" s="60" t="s">
        <v>5</v>
      </c>
    </row>
    <row r="15" spans="1:7" ht="16.5" customHeight="1" x14ac:dyDescent="0.3">
      <c r="A15" s="474" t="s">
        <v>33</v>
      </c>
      <c r="B15" s="474"/>
      <c r="C15" s="60" t="s">
        <v>7</v>
      </c>
    </row>
    <row r="16" spans="1:7" ht="16.5" customHeight="1" x14ac:dyDescent="0.3">
      <c r="A16" s="474" t="s">
        <v>34</v>
      </c>
      <c r="B16" s="474"/>
      <c r="C16" s="60" t="s">
        <v>9</v>
      </c>
    </row>
    <row r="17" spans="1:5" ht="16.5" customHeight="1" x14ac:dyDescent="0.3">
      <c r="A17" s="474" t="s">
        <v>35</v>
      </c>
      <c r="B17" s="474"/>
      <c r="C17" s="60" t="s">
        <v>9</v>
      </c>
    </row>
    <row r="18" spans="1:5" ht="16.5" customHeight="1" x14ac:dyDescent="0.3">
      <c r="A18" s="474" t="s">
        <v>36</v>
      </c>
      <c r="B18" s="474"/>
      <c r="C18" s="97" t="s">
        <v>11</v>
      </c>
    </row>
    <row r="19" spans="1:5" ht="16.5" customHeight="1" x14ac:dyDescent="0.3">
      <c r="A19" s="474" t="s">
        <v>37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38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372.86</v>
      </c>
      <c r="D24" s="87">
        <f t="shared" ref="D24:D43" si="0">(C24-$C$46)/$C$46</f>
        <v>-3.8019359682379423E-3</v>
      </c>
      <c r="E24" s="53"/>
    </row>
    <row r="25" spans="1:5" ht="15.75" customHeight="1" x14ac:dyDescent="0.3">
      <c r="C25" s="95">
        <v>372.7</v>
      </c>
      <c r="D25" s="88">
        <f t="shared" si="0"/>
        <v>-4.2294199843434695E-3</v>
      </c>
      <c r="E25" s="53"/>
    </row>
    <row r="26" spans="1:5" ht="15.75" customHeight="1" x14ac:dyDescent="0.3">
      <c r="C26" s="95">
        <v>371.11</v>
      </c>
      <c r="D26" s="88">
        <f t="shared" si="0"/>
        <v>-8.4775423943914147E-3</v>
      </c>
      <c r="E26" s="53"/>
    </row>
    <row r="27" spans="1:5" ht="15.75" customHeight="1" x14ac:dyDescent="0.3">
      <c r="C27" s="95">
        <v>375.42</v>
      </c>
      <c r="D27" s="88">
        <f t="shared" si="0"/>
        <v>3.0378082894494283E-3</v>
      </c>
      <c r="E27" s="53"/>
    </row>
    <row r="28" spans="1:5" ht="15.75" customHeight="1" x14ac:dyDescent="0.3">
      <c r="C28" s="95">
        <v>372.36</v>
      </c>
      <c r="D28" s="88">
        <f t="shared" si="0"/>
        <v>-5.1378235185675055E-3</v>
      </c>
      <c r="E28" s="53"/>
    </row>
    <row r="29" spans="1:5" ht="15.75" customHeight="1" x14ac:dyDescent="0.3">
      <c r="C29" s="95">
        <v>376.81</v>
      </c>
      <c r="D29" s="88">
        <f t="shared" si="0"/>
        <v>6.7515756793655778E-3</v>
      </c>
      <c r="E29" s="53"/>
    </row>
    <row r="30" spans="1:5" ht="15.75" customHeight="1" x14ac:dyDescent="0.3">
      <c r="C30" s="95">
        <v>376.72</v>
      </c>
      <c r="D30" s="88">
        <f t="shared" si="0"/>
        <v>6.5111159203063238E-3</v>
      </c>
      <c r="E30" s="53"/>
    </row>
    <row r="31" spans="1:5" ht="15.75" customHeight="1" x14ac:dyDescent="0.3">
      <c r="C31" s="95">
        <v>375.86</v>
      </c>
      <c r="D31" s="88">
        <f t="shared" si="0"/>
        <v>4.2133893337394385E-3</v>
      </c>
      <c r="E31" s="53"/>
    </row>
    <row r="32" spans="1:5" ht="15.75" customHeight="1" x14ac:dyDescent="0.3">
      <c r="C32" s="95">
        <v>380.51</v>
      </c>
      <c r="D32" s="88">
        <f t="shared" si="0"/>
        <v>1.6637143551804318E-2</v>
      </c>
      <c r="E32" s="53"/>
    </row>
    <row r="33" spans="1:7" ht="15.75" customHeight="1" x14ac:dyDescent="0.3">
      <c r="C33" s="95">
        <v>377.01</v>
      </c>
      <c r="D33" s="88">
        <f t="shared" si="0"/>
        <v>7.2859306994973736E-3</v>
      </c>
      <c r="E33" s="53"/>
    </row>
    <row r="34" spans="1:7" ht="15.75" customHeight="1" x14ac:dyDescent="0.3">
      <c r="C34" s="95">
        <v>373.7</v>
      </c>
      <c r="D34" s="88">
        <f t="shared" si="0"/>
        <v>-1.5576448836843427E-3</v>
      </c>
      <c r="E34" s="53"/>
    </row>
    <row r="35" spans="1:7" ht="15.75" customHeight="1" x14ac:dyDescent="0.3">
      <c r="C35" s="95">
        <v>372.56</v>
      </c>
      <c r="D35" s="88">
        <f t="shared" si="0"/>
        <v>-4.6034684984357106E-3</v>
      </c>
      <c r="E35" s="53"/>
    </row>
    <row r="36" spans="1:7" ht="15.75" customHeight="1" x14ac:dyDescent="0.3">
      <c r="C36" s="95">
        <v>374.65</v>
      </c>
      <c r="D36" s="88">
        <f t="shared" si="0"/>
        <v>9.8054146194179745E-4</v>
      </c>
      <c r="E36" s="53"/>
    </row>
    <row r="37" spans="1:7" ht="15.75" customHeight="1" x14ac:dyDescent="0.3">
      <c r="C37" s="95">
        <v>377.14</v>
      </c>
      <c r="D37" s="88">
        <f t="shared" si="0"/>
        <v>7.6332614625830479E-3</v>
      </c>
      <c r="E37" s="53"/>
    </row>
    <row r="38" spans="1:7" ht="15.75" customHeight="1" x14ac:dyDescent="0.3">
      <c r="C38" s="95">
        <v>374.43</v>
      </c>
      <c r="D38" s="88">
        <f t="shared" si="0"/>
        <v>3.9275093979686856E-4</v>
      </c>
      <c r="E38" s="53"/>
    </row>
    <row r="39" spans="1:7" ht="15.75" customHeight="1" x14ac:dyDescent="0.3">
      <c r="C39" s="95">
        <v>372.15</v>
      </c>
      <c r="D39" s="88">
        <f t="shared" si="0"/>
        <v>-5.6988962897060198E-3</v>
      </c>
      <c r="E39" s="53"/>
    </row>
    <row r="40" spans="1:7" ht="15.75" customHeight="1" x14ac:dyDescent="0.3">
      <c r="C40" s="95">
        <v>372.32</v>
      </c>
      <c r="D40" s="88">
        <f t="shared" si="0"/>
        <v>-5.2446945225939259E-3</v>
      </c>
      <c r="E40" s="53"/>
    </row>
    <row r="41" spans="1:7" ht="15.75" customHeight="1" x14ac:dyDescent="0.3">
      <c r="C41" s="95">
        <v>374.63</v>
      </c>
      <c r="D41" s="88">
        <f t="shared" si="0"/>
        <v>9.2710595992866358E-4</v>
      </c>
      <c r="E41" s="53"/>
    </row>
    <row r="42" spans="1:7" ht="15.75" customHeight="1" x14ac:dyDescent="0.3">
      <c r="C42" s="95">
        <v>376.65</v>
      </c>
      <c r="D42" s="88">
        <f t="shared" si="0"/>
        <v>6.3240916632600515E-3</v>
      </c>
      <c r="E42" s="53"/>
    </row>
    <row r="43" spans="1:7" ht="16.5" customHeight="1" x14ac:dyDescent="0.3">
      <c r="C43" s="96">
        <v>366.07</v>
      </c>
      <c r="D43" s="89">
        <f t="shared" si="0"/>
        <v>-2.194328890171347E-2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7485.66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374.28300000000002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7">
        <f>C46</f>
        <v>374.28300000000002</v>
      </c>
      <c r="C49" s="93">
        <f>-IF(C46&lt;=80,10%,IF(C46&lt;250,7.5%,5%))</f>
        <v>-0.05</v>
      </c>
      <c r="D49" s="81">
        <f>IF(C46&lt;=80,C46*0.9,IF(C46&lt;250,C46*0.925,C46*0.95))</f>
        <v>355.56885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392.99715000000003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44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45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98"/>
    </row>
    <row r="16" spans="1:9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46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100" t="s">
        <v>32</v>
      </c>
      <c r="B18" s="508" t="s">
        <v>5</v>
      </c>
      <c r="C18" s="508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3" t="s">
        <v>129</v>
      </c>
      <c r="C20" s="513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104"/>
    </row>
    <row r="22" spans="1:14" ht="26.25" customHeight="1" x14ac:dyDescent="0.4">
      <c r="A22" s="100" t="s">
        <v>36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42532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8" t="s">
        <v>128</v>
      </c>
      <c r="C26" s="508"/>
    </row>
    <row r="27" spans="1:14" ht="26.25" customHeight="1" x14ac:dyDescent="0.4">
      <c r="A27" s="109" t="s">
        <v>47</v>
      </c>
      <c r="B27" s="506" t="s">
        <v>130</v>
      </c>
      <c r="C27" s="506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48</v>
      </c>
      <c r="B29" s="111">
        <v>0</v>
      </c>
      <c r="C29" s="483" t="s">
        <v>49</v>
      </c>
      <c r="D29" s="484"/>
      <c r="E29" s="484"/>
      <c r="F29" s="484"/>
      <c r="G29" s="485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6" t="s">
        <v>52</v>
      </c>
      <c r="D31" s="487"/>
      <c r="E31" s="487"/>
      <c r="F31" s="487"/>
      <c r="G31" s="487"/>
      <c r="H31" s="488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6" t="s">
        <v>54</v>
      </c>
      <c r="D32" s="487"/>
      <c r="E32" s="487"/>
      <c r="F32" s="487"/>
      <c r="G32" s="487"/>
      <c r="H32" s="48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489" t="s">
        <v>58</v>
      </c>
      <c r="E36" s="507"/>
      <c r="F36" s="489" t="s">
        <v>59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55486828</v>
      </c>
      <c r="E38" s="133">
        <f>IF(ISBLANK(D38),"-",$D$48/$D$45*D38)</f>
        <v>50188888.888888896</v>
      </c>
      <c r="F38" s="132">
        <v>49127867</v>
      </c>
      <c r="G38" s="134">
        <f>IF(ISBLANK(F38),"-",$D$48/$F$45*F38)</f>
        <v>50428286.436480738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55017207</v>
      </c>
      <c r="E39" s="138">
        <f>IF(ISBLANK(D39),"-",$D$48/$D$45*D39)</f>
        <v>49764107.782481283</v>
      </c>
      <c r="F39" s="137">
        <v>49043415</v>
      </c>
      <c r="G39" s="139">
        <f>IF(ISBLANK(F39),"-",$D$48/$F$45*F39)</f>
        <v>50341598.9837946</v>
      </c>
      <c r="I39" s="491">
        <f>ABS((F43/D43*D42)-F42)/D42</f>
        <v>7.87171238077106E-3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54969938</v>
      </c>
      <c r="E40" s="138">
        <f>IF(ISBLANK(D40),"-",$D$48/$D$45*D40)</f>
        <v>49721352.074966535</v>
      </c>
      <c r="F40" s="137">
        <v>48945903</v>
      </c>
      <c r="G40" s="139">
        <f>IF(ISBLANK(F40),"-",$D$48/$F$45*F40)</f>
        <v>50241505.83163324</v>
      </c>
      <c r="I40" s="491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55157991</v>
      </c>
      <c r="E42" s="148">
        <f>AVERAGE(E38:E41)</f>
        <v>49891449.58211223</v>
      </c>
      <c r="F42" s="147">
        <f>AVERAGE(F38:F41)</f>
        <v>49039061.666666664</v>
      </c>
      <c r="G42" s="149">
        <f>AVERAGE(G38:G41)</f>
        <v>50337130.417302854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17.688959999999998</v>
      </c>
      <c r="E45" s="158"/>
      <c r="F45" s="157">
        <f>F44*$B$30/100</f>
        <v>15.587400000000001</v>
      </c>
      <c r="H45" s="150"/>
    </row>
    <row r="46" spans="1:14" ht="19.5" customHeight="1" x14ac:dyDescent="0.3">
      <c r="A46" s="477" t="s">
        <v>77</v>
      </c>
      <c r="B46" s="478"/>
      <c r="C46" s="153" t="s">
        <v>78</v>
      </c>
      <c r="D46" s="159">
        <f>D45/$B$45</f>
        <v>0.17688959999999998</v>
      </c>
      <c r="E46" s="160"/>
      <c r="F46" s="161">
        <f>F45/$B$45</f>
        <v>0.15587400000000001</v>
      </c>
      <c r="H46" s="150"/>
    </row>
    <row r="47" spans="1:14" ht="27" customHeight="1" x14ac:dyDescent="0.4">
      <c r="A47" s="479"/>
      <c r="B47" s="480"/>
      <c r="C47" s="162" t="s">
        <v>79</v>
      </c>
      <c r="D47" s="163">
        <v>0.16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16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50114289.999707542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5.9799263105393278E-3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Rifampicin 150mg &amp; Isoniazid 75mg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 xml:space="preserve">Rifampicin </v>
      </c>
      <c r="H56" s="179"/>
    </row>
    <row r="57" spans="1:12" ht="18.75" x14ac:dyDescent="0.3">
      <c r="A57" s="176" t="s">
        <v>87</v>
      </c>
      <c r="B57" s="268">
        <f>Uniformity!C46</f>
        <v>374.28300000000002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494" t="s">
        <v>93</v>
      </c>
      <c r="D60" s="497">
        <v>41.65</v>
      </c>
      <c r="E60" s="182">
        <v>1</v>
      </c>
      <c r="F60" s="183">
        <v>51175358</v>
      </c>
      <c r="G60" s="269">
        <f>IF(ISBLANK(F60),"-",(F60/$D$50*$D$47*$B$68)*($B$57/$D$60))</f>
        <v>146.82647973241757</v>
      </c>
      <c r="H60" s="184">
        <f t="shared" ref="H60:H71" si="0">IF(ISBLANK(F60),"-",G60/$B$56)</f>
        <v>0.97884319821611709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495"/>
      <c r="D61" s="498"/>
      <c r="E61" s="185">
        <v>2</v>
      </c>
      <c r="F61" s="137">
        <v>51201524</v>
      </c>
      <c r="G61" s="270">
        <f>IF(ISBLANK(F61),"-",(F61/$D$50*$D$47*$B$68)*($B$57/$D$60))</f>
        <v>146.90155222470335</v>
      </c>
      <c r="H61" s="186">
        <f t="shared" si="0"/>
        <v>0.97934368149802231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5"/>
      <c r="D62" s="498"/>
      <c r="E62" s="185">
        <v>3</v>
      </c>
      <c r="F62" s="187">
        <v>51229428</v>
      </c>
      <c r="G62" s="270">
        <f>IF(ISBLANK(F62),"-",(F62/$D$50*$D$47*$B$68)*($B$57/$D$60))</f>
        <v>146.98161118766077</v>
      </c>
      <c r="H62" s="186">
        <f t="shared" si="0"/>
        <v>0.97987740791773847</v>
      </c>
      <c r="L62" s="112"/>
    </row>
    <row r="63" spans="1:12" ht="27" customHeight="1" x14ac:dyDescent="0.4">
      <c r="A63" s="124" t="s">
        <v>96</v>
      </c>
      <c r="B63" s="125">
        <v>1</v>
      </c>
      <c r="C63" s="505"/>
      <c r="D63" s="49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4" t="s">
        <v>98</v>
      </c>
      <c r="D64" s="497">
        <v>39.909999999999997</v>
      </c>
      <c r="E64" s="182">
        <v>1</v>
      </c>
      <c r="F64" s="183">
        <v>49040609</v>
      </c>
      <c r="G64" s="271">
        <f>IF(ISBLANK(F64),"-",(F64/$D$50*$D$47*$B$68)*($B$57/$D$64))</f>
        <v>146.83602852284835</v>
      </c>
      <c r="H64" s="190">
        <f t="shared" si="0"/>
        <v>0.97890685681898904</v>
      </c>
    </row>
    <row r="65" spans="1:8" ht="26.25" customHeight="1" x14ac:dyDescent="0.4">
      <c r="A65" s="124" t="s">
        <v>99</v>
      </c>
      <c r="B65" s="125">
        <v>1</v>
      </c>
      <c r="C65" s="495"/>
      <c r="D65" s="498"/>
      <c r="E65" s="185">
        <v>2</v>
      </c>
      <c r="F65" s="137">
        <v>49140503</v>
      </c>
      <c r="G65" s="272">
        <f>IF(ISBLANK(F65),"-",(F65/$D$50*$D$47*$B$68)*($B$57/$D$64))</f>
        <v>147.13512836137727</v>
      </c>
      <c r="H65" s="191">
        <f t="shared" si="0"/>
        <v>0.98090085574251518</v>
      </c>
    </row>
    <row r="66" spans="1:8" ht="26.25" customHeight="1" x14ac:dyDescent="0.4">
      <c r="A66" s="124" t="s">
        <v>100</v>
      </c>
      <c r="B66" s="125">
        <v>1</v>
      </c>
      <c r="C66" s="495"/>
      <c r="D66" s="498"/>
      <c r="E66" s="185">
        <v>3</v>
      </c>
      <c r="F66" s="137">
        <v>49016864</v>
      </c>
      <c r="G66" s="272">
        <f>IF(ISBLANK(F66),"-",(F66/$D$50*$D$47*$B$68)*($B$57/$D$64))</f>
        <v>146.76493190377343</v>
      </c>
      <c r="H66" s="191">
        <f t="shared" si="0"/>
        <v>0.97843287935848955</v>
      </c>
    </row>
    <row r="67" spans="1:8" ht="27" customHeight="1" x14ac:dyDescent="0.4">
      <c r="A67" s="124" t="s">
        <v>101</v>
      </c>
      <c r="B67" s="125">
        <v>1</v>
      </c>
      <c r="C67" s="505"/>
      <c r="D67" s="49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</v>
      </c>
      <c r="C68" s="494" t="s">
        <v>103</v>
      </c>
      <c r="D68" s="497">
        <v>40.340000000000003</v>
      </c>
      <c r="E68" s="182">
        <v>1</v>
      </c>
      <c r="F68" s="183">
        <v>48826188</v>
      </c>
      <c r="G68" s="271">
        <f>IF(ISBLANK(F68),"-",(F68/$D$50*$D$47*$B$68)*($B$57/$D$68))</f>
        <v>144.63567534937479</v>
      </c>
      <c r="H68" s="186">
        <f t="shared" si="0"/>
        <v>0.96423783566249865</v>
      </c>
    </row>
    <row r="69" spans="1:8" ht="27" customHeight="1" x14ac:dyDescent="0.4">
      <c r="A69" s="172" t="s">
        <v>104</v>
      </c>
      <c r="B69" s="194">
        <f>(D47*B68)/B56*B57</f>
        <v>39.923520000000003</v>
      </c>
      <c r="C69" s="495"/>
      <c r="D69" s="498"/>
      <c r="E69" s="185">
        <v>2</v>
      </c>
      <c r="F69" s="137">
        <v>48801845</v>
      </c>
      <c r="G69" s="272">
        <f>IF(ISBLANK(F69),"-",(F69/$D$50*$D$47*$B$68)*($B$57/$D$68))</f>
        <v>144.56356514808223</v>
      </c>
      <c r="H69" s="186">
        <f t="shared" si="0"/>
        <v>0.9637571009872149</v>
      </c>
    </row>
    <row r="70" spans="1:8" ht="26.25" customHeight="1" x14ac:dyDescent="0.4">
      <c r="A70" s="500" t="s">
        <v>77</v>
      </c>
      <c r="B70" s="501"/>
      <c r="C70" s="495"/>
      <c r="D70" s="498"/>
      <c r="E70" s="185">
        <v>3</v>
      </c>
      <c r="F70" s="137">
        <v>48812883</v>
      </c>
      <c r="G70" s="272">
        <f>IF(ISBLANK(F70),"-",(F70/$D$50*$D$47*$B$68)*($B$57/$D$68))</f>
        <v>144.59626253139029</v>
      </c>
      <c r="H70" s="186">
        <f t="shared" si="0"/>
        <v>0.96397508354260197</v>
      </c>
    </row>
    <row r="71" spans="1:8" ht="27" customHeight="1" x14ac:dyDescent="0.4">
      <c r="A71" s="502"/>
      <c r="B71" s="503"/>
      <c r="C71" s="496"/>
      <c r="D71" s="49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146.13791499573645</v>
      </c>
      <c r="H72" s="199">
        <f>AVERAGE(H60:H71)</f>
        <v>0.97425276663824312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7.9344723215932118E-3</v>
      </c>
      <c r="H73" s="274">
        <f>STDEV(H60:H71)/H72</f>
        <v>7.9344723215932014E-3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481" t="str">
        <f>B20</f>
        <v xml:space="preserve">Rifampicin </v>
      </c>
      <c r="D76" s="481"/>
      <c r="E76" s="205" t="s">
        <v>107</v>
      </c>
      <c r="F76" s="205"/>
      <c r="G76" s="206">
        <f>H72</f>
        <v>0.97425276663824312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4" t="str">
        <f>B26</f>
        <v>Rifampicin</v>
      </c>
      <c r="C79" s="504"/>
    </row>
    <row r="80" spans="1:8" ht="26.25" customHeight="1" x14ac:dyDescent="0.4">
      <c r="A80" s="109" t="s">
        <v>47</v>
      </c>
      <c r="B80" s="504" t="str">
        <f>B27</f>
        <v>R5-1</v>
      </c>
      <c r="C80" s="504"/>
    </row>
    <row r="81" spans="1:12" ht="27" customHeight="1" x14ac:dyDescent="0.4">
      <c r="A81" s="109" t="s">
        <v>6</v>
      </c>
      <c r="B81" s="208">
        <v>99.6</v>
      </c>
    </row>
    <row r="82" spans="1:12" s="14" customFormat="1" ht="27" customHeight="1" x14ac:dyDescent="0.4">
      <c r="A82" s="109" t="s">
        <v>48</v>
      </c>
      <c r="B82" s="111">
        <v>0</v>
      </c>
      <c r="C82" s="483" t="s">
        <v>49</v>
      </c>
      <c r="D82" s="484"/>
      <c r="E82" s="484"/>
      <c r="F82" s="484"/>
      <c r="G82" s="485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6" t="s">
        <v>110</v>
      </c>
      <c r="D84" s="487"/>
      <c r="E84" s="487"/>
      <c r="F84" s="487"/>
      <c r="G84" s="487"/>
      <c r="H84" s="488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6" t="s">
        <v>111</v>
      </c>
      <c r="D85" s="487"/>
      <c r="E85" s="487"/>
      <c r="F85" s="487"/>
      <c r="G85" s="487"/>
      <c r="H85" s="48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9" t="s">
        <v>58</v>
      </c>
      <c r="E89" s="210"/>
      <c r="F89" s="489" t="s">
        <v>59</v>
      </c>
      <c r="G89" s="490"/>
    </row>
    <row r="90" spans="1:12" ht="27" customHeight="1" x14ac:dyDescent="0.4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3">
        <v>1</v>
      </c>
      <c r="D91" s="132">
        <v>55486828</v>
      </c>
      <c r="E91" s="133">
        <f>IF(ISBLANK(D91),"-",$D$101/$D$98*D91)</f>
        <v>52280092.59259259</v>
      </c>
      <c r="F91" s="132">
        <v>49127867</v>
      </c>
      <c r="G91" s="134">
        <f>IF(ISBLANK(F91),"-",$D$101/$F$98*F91)</f>
        <v>52529465.038000762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55017207</v>
      </c>
      <c r="E92" s="138">
        <f>IF(ISBLANK(D92),"-",$D$101/$D$98*D92)</f>
        <v>51837612.273417994</v>
      </c>
      <c r="F92" s="137">
        <v>49043415</v>
      </c>
      <c r="G92" s="139">
        <f>IF(ISBLANK(F92),"-",$D$101/$F$98*F92)</f>
        <v>52439165.608119361</v>
      </c>
      <c r="I92" s="491">
        <f>ABS((F96/D96*D95)-F95)/D95</f>
        <v>7.87171238077106E-3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54969938</v>
      </c>
      <c r="E93" s="138">
        <f>IF(ISBLANK(D93),"-",$D$101/$D$98*D93)</f>
        <v>51793075.078090139</v>
      </c>
      <c r="F93" s="137">
        <v>48945903</v>
      </c>
      <c r="G93" s="139">
        <f>IF(ISBLANK(F93),"-",$D$101/$F$98*F93)</f>
        <v>52334901.90795128</v>
      </c>
      <c r="I93" s="491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55157991</v>
      </c>
      <c r="E95" s="148">
        <f>AVERAGE(E91:E94)</f>
        <v>51970259.981366903</v>
      </c>
      <c r="F95" s="218">
        <f>AVERAGE(F91:F94)</f>
        <v>49039061.666666664</v>
      </c>
      <c r="G95" s="219">
        <f>AVERAGE(G91:G94)</f>
        <v>52434510.85135714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17.760000000000002</v>
      </c>
      <c r="E96" s="140"/>
      <c r="F96" s="152">
        <v>15.65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17.760000000000002</v>
      </c>
      <c r="E97" s="155"/>
      <c r="F97" s="154">
        <f>F96*$B$87</f>
        <v>15.65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17.688959999999998</v>
      </c>
      <c r="E98" s="158"/>
      <c r="F98" s="157">
        <f>F97*$B$83/100</f>
        <v>15.587400000000001</v>
      </c>
    </row>
    <row r="99" spans="1:10" ht="19.5" customHeight="1" x14ac:dyDescent="0.3">
      <c r="A99" s="477" t="s">
        <v>77</v>
      </c>
      <c r="B99" s="492"/>
      <c r="C99" s="222" t="s">
        <v>115</v>
      </c>
      <c r="D99" s="226">
        <f>D98/$B$98</f>
        <v>0.17688959999999998</v>
      </c>
      <c r="E99" s="158"/>
      <c r="F99" s="161">
        <f>F98/$B$98</f>
        <v>0.15587400000000001</v>
      </c>
      <c r="G99" s="227"/>
      <c r="H99" s="150"/>
    </row>
    <row r="100" spans="1:10" ht="19.5" customHeight="1" x14ac:dyDescent="0.3">
      <c r="A100" s="479"/>
      <c r="B100" s="493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52202385.416362017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5.9799263105392826E-3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49054992</v>
      </c>
      <c r="E108" s="275">
        <f t="shared" ref="E108:E113" si="1">IF(ISBLANK(D108),"-",D108/$D$103*$D$100*$B$116)</f>
        <v>140.95617932612083</v>
      </c>
      <c r="F108" s="245">
        <f t="shared" ref="F108:F113" si="2">IF(ISBLANK(D108), "-", E108/$B$56)</f>
        <v>0.93970786217413893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48750138</v>
      </c>
      <c r="E109" s="276">
        <f t="shared" si="1"/>
        <v>140.08020211482531</v>
      </c>
      <c r="F109" s="246">
        <f t="shared" si="2"/>
        <v>0.93386801409883546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51197141</v>
      </c>
      <c r="E110" s="276">
        <f t="shared" si="1"/>
        <v>147.11149861732102</v>
      </c>
      <c r="F110" s="246">
        <f t="shared" si="2"/>
        <v>0.98074332411547349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48794201</v>
      </c>
      <c r="E111" s="276">
        <f t="shared" si="1"/>
        <v>140.20681414504736</v>
      </c>
      <c r="F111" s="246">
        <f t="shared" si="2"/>
        <v>0.93471209430031577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48912053</v>
      </c>
      <c r="E112" s="276">
        <f t="shared" si="1"/>
        <v>140.54545384242905</v>
      </c>
      <c r="F112" s="246">
        <f t="shared" si="2"/>
        <v>0.93696969228286031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51164475</v>
      </c>
      <c r="E113" s="277">
        <f t="shared" si="1"/>
        <v>147.01763509056991</v>
      </c>
      <c r="F113" s="249">
        <f t="shared" si="2"/>
        <v>0.98011756727046606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142.65296385605225</v>
      </c>
      <c r="F115" s="252">
        <f>AVERAGE(F108:F113)</f>
        <v>0.9510197590403483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2.4050049421784347E-2</v>
      </c>
      <c r="F116" s="254">
        <f>STDEV(F108:F113)/F115</f>
        <v>2.4050049421784347E-2</v>
      </c>
      <c r="I116" s="98"/>
    </row>
    <row r="117" spans="1:10" ht="27" customHeight="1" x14ac:dyDescent="0.4">
      <c r="A117" s="477" t="s">
        <v>77</v>
      </c>
      <c r="B117" s="478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9"/>
      <c r="B118" s="48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481" t="str">
        <f>B20</f>
        <v xml:space="preserve">Rifampicin </v>
      </c>
      <c r="D120" s="481"/>
      <c r="E120" s="205" t="s">
        <v>123</v>
      </c>
      <c r="F120" s="205"/>
      <c r="G120" s="206">
        <f>F115</f>
        <v>0.9510197590403483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2" t="s">
        <v>25</v>
      </c>
      <c r="C122" s="482"/>
      <c r="E122" s="211" t="s">
        <v>26</v>
      </c>
      <c r="F122" s="260"/>
      <c r="G122" s="482" t="s">
        <v>27</v>
      </c>
      <c r="H122" s="482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2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124</v>
      </c>
      <c r="D17" s="9"/>
      <c r="E17" s="72"/>
    </row>
    <row r="18" spans="1:5" ht="16.5" customHeight="1" x14ac:dyDescent="0.3">
      <c r="A18" s="75" t="s">
        <v>4</v>
      </c>
      <c r="B18" s="8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v>9.8599999999999993E-2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17</v>
      </c>
      <c r="B30" s="24">
        <f>AVERAGE(B24:B29)</f>
        <v>33693333.5</v>
      </c>
      <c r="C30" s="25">
        <f>AVERAGE(C24:C29)</f>
        <v>7948.0483333333332</v>
      </c>
      <c r="D30" s="26">
        <f>AVERAGE(D24:D29)</f>
        <v>1.0933333333333335</v>
      </c>
      <c r="E30" s="26">
        <f>AVERAGE(E24:E29)</f>
        <v>2.75</v>
      </c>
    </row>
    <row r="31" spans="1:5" ht="16.5" customHeight="1" x14ac:dyDescent="0.3">
      <c r="A31" s="27" t="s">
        <v>18</v>
      </c>
      <c r="B31" s="28">
        <f>(STDEV(B24:B29)/B30)</f>
        <v>1.6376040795256486E-3</v>
      </c>
      <c r="C31" s="29"/>
      <c r="D31" s="29"/>
      <c r="E31" s="30"/>
    </row>
    <row r="32" spans="1:5" s="410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19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25</v>
      </c>
      <c r="C59" s="466"/>
      <c r="E59" s="464" t="s">
        <v>26</v>
      </c>
      <c r="F59" s="46"/>
      <c r="G59" s="464" t="s">
        <v>27</v>
      </c>
    </row>
    <row r="60" spans="1:7" ht="15" customHeight="1" x14ac:dyDescent="0.3">
      <c r="A60" s="47" t="s">
        <v>28</v>
      </c>
      <c r="B60" s="49" t="s">
        <v>126</v>
      </c>
      <c r="C60" s="49"/>
      <c r="E60" s="49" t="s">
        <v>127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44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45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281"/>
    </row>
    <row r="16" spans="1:9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46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283" t="s">
        <v>32</v>
      </c>
      <c r="B18" s="508" t="s">
        <v>5</v>
      </c>
      <c r="C18" s="508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3" t="s">
        <v>131</v>
      </c>
      <c r="C20" s="513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287"/>
    </row>
    <row r="22" spans="1:14" ht="26.25" customHeight="1" x14ac:dyDescent="0.4">
      <c r="A22" s="283" t="s">
        <v>36</v>
      </c>
      <c r="B22" s="288">
        <v>42531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>
        <v>42532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8" t="s">
        <v>125</v>
      </c>
      <c r="C26" s="508"/>
    </row>
    <row r="27" spans="1:14" ht="26.25" customHeight="1" x14ac:dyDescent="0.4">
      <c r="A27" s="292" t="s">
        <v>47</v>
      </c>
      <c r="B27" s="506" t="s">
        <v>132</v>
      </c>
      <c r="C27" s="506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48</v>
      </c>
      <c r="B29" s="294">
        <v>0</v>
      </c>
      <c r="C29" s="483" t="s">
        <v>49</v>
      </c>
      <c r="D29" s="484"/>
      <c r="E29" s="484"/>
      <c r="F29" s="484"/>
      <c r="G29" s="485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6" t="s">
        <v>52</v>
      </c>
      <c r="D31" s="487"/>
      <c r="E31" s="487"/>
      <c r="F31" s="487"/>
      <c r="G31" s="487"/>
      <c r="H31" s="488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6" t="s">
        <v>54</v>
      </c>
      <c r="D32" s="487"/>
      <c r="E32" s="487"/>
      <c r="F32" s="487"/>
      <c r="G32" s="487"/>
      <c r="H32" s="488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100</v>
      </c>
      <c r="C36" s="282"/>
      <c r="D36" s="489" t="s">
        <v>58</v>
      </c>
      <c r="E36" s="507"/>
      <c r="F36" s="489" t="s">
        <v>59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1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1</v>
      </c>
      <c r="C38" s="314">
        <v>1</v>
      </c>
      <c r="D38" s="315">
        <v>33672014</v>
      </c>
      <c r="E38" s="316">
        <f>IF(ISBLANK(D38),"-",$D$48/$D$45*D38)</f>
        <v>27736134.512618281</v>
      </c>
      <c r="F38" s="315">
        <v>27605097</v>
      </c>
      <c r="G38" s="317">
        <f>IF(ISBLANK(F38),"-",$D$48/$F$45*F38)</f>
        <v>27611309.544647548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33668892</v>
      </c>
      <c r="E39" s="321">
        <f>IF(ISBLANK(D39),"-",$D$48/$D$45*D39)</f>
        <v>27733562.875176329</v>
      </c>
      <c r="F39" s="320">
        <v>27617567</v>
      </c>
      <c r="G39" s="322">
        <f>IF(ISBLANK(F39),"-",$D$48/$F$45*F39)</f>
        <v>27623782.351028983</v>
      </c>
      <c r="I39" s="491">
        <f>ABS((F43/D43*D42)-F42)/D42</f>
        <v>3.3791889042000286E-3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33629878</v>
      </c>
      <c r="E40" s="321">
        <f>IF(ISBLANK(D40),"-",$D$48/$D$45*D40)</f>
        <v>27701426.468014129</v>
      </c>
      <c r="F40" s="320">
        <v>27588547</v>
      </c>
      <c r="G40" s="322">
        <f>IF(ISBLANK(F40),"-",$D$48/$F$45*F40)</f>
        <v>27594755.820059516</v>
      </c>
      <c r="I40" s="491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33656928</v>
      </c>
      <c r="E42" s="331">
        <f>AVERAGE(E38:E41)</f>
        <v>27723707.951936245</v>
      </c>
      <c r="F42" s="330">
        <f>AVERAGE(F38:F41)</f>
        <v>27603737</v>
      </c>
      <c r="G42" s="332">
        <f>AVERAGE(G38:G41)</f>
        <v>27609949.238578681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9.86</v>
      </c>
      <c r="E43" s="323"/>
      <c r="F43" s="335">
        <v>8.1199999999999992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9.86</v>
      </c>
      <c r="E44" s="338"/>
      <c r="F44" s="337">
        <f>F43*$B$34</f>
        <v>8.1199999999999992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9.7120999999999995</v>
      </c>
      <c r="E45" s="341"/>
      <c r="F45" s="340">
        <f>F44*$B$30/100</f>
        <v>7.9981999999999998</v>
      </c>
      <c r="H45" s="333"/>
    </row>
    <row r="46" spans="1:14" ht="19.5" customHeight="1" x14ac:dyDescent="0.3">
      <c r="A46" s="477" t="s">
        <v>77</v>
      </c>
      <c r="B46" s="478"/>
      <c r="C46" s="336" t="s">
        <v>78</v>
      </c>
      <c r="D46" s="342">
        <f>D45/$B$45</f>
        <v>9.7120999999999999E-2</v>
      </c>
      <c r="E46" s="343"/>
      <c r="F46" s="344">
        <f>F45/$B$45</f>
        <v>7.9981999999999998E-2</v>
      </c>
      <c r="H46" s="333"/>
    </row>
    <row r="47" spans="1:14" ht="27" customHeight="1" x14ac:dyDescent="0.4">
      <c r="A47" s="479"/>
      <c r="B47" s="480"/>
      <c r="C47" s="345" t="s">
        <v>79</v>
      </c>
      <c r="D47" s="346">
        <v>0.08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8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8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27666828.595257461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2.3190838712229054E-3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Rifampicin 150mg &amp; Isoniazid 75mg</v>
      </c>
    </row>
    <row r="56" spans="1:12" ht="26.25" customHeight="1" x14ac:dyDescent="0.4">
      <c r="A56" s="360" t="s">
        <v>86</v>
      </c>
      <c r="B56" s="361">
        <v>75</v>
      </c>
      <c r="C56" s="282" t="str">
        <f>B20</f>
        <v xml:space="preserve"> Isoniazid </v>
      </c>
      <c r="H56" s="362"/>
    </row>
    <row r="57" spans="1:12" ht="18.75" x14ac:dyDescent="0.3">
      <c r="A57" s="359" t="s">
        <v>87</v>
      </c>
      <c r="B57" s="451">
        <f>Uniformity!C46</f>
        <v>374.28300000000002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1</v>
      </c>
      <c r="C60" s="494" t="s">
        <v>93</v>
      </c>
      <c r="D60" s="497">
        <v>41.65</v>
      </c>
      <c r="E60" s="365">
        <v>1</v>
      </c>
      <c r="F60" s="366">
        <v>28319875</v>
      </c>
      <c r="G60" s="452">
        <f>IF(ISBLANK(F60),"-",(F60/$D$50*$D$47*$B$68)*($B$57/$D$60))</f>
        <v>73.588006099751013</v>
      </c>
      <c r="H60" s="367">
        <f t="shared" ref="H60:H71" si="0">IF(ISBLANK(F60),"-",G60/$B$56)</f>
        <v>0.98117341466334684</v>
      </c>
      <c r="L60" s="295"/>
    </row>
    <row r="61" spans="1:12" s="14" customFormat="1" ht="26.25" customHeight="1" x14ac:dyDescent="0.4">
      <c r="A61" s="307" t="s">
        <v>94</v>
      </c>
      <c r="B61" s="308">
        <v>1</v>
      </c>
      <c r="C61" s="495"/>
      <c r="D61" s="498"/>
      <c r="E61" s="368">
        <v>2</v>
      </c>
      <c r="F61" s="320">
        <v>28284315</v>
      </c>
      <c r="G61" s="453">
        <f>IF(ISBLANK(F61),"-",(F61/$D$50*$D$47*$B$68)*($B$57/$D$60))</f>
        <v>73.495604932835292</v>
      </c>
      <c r="H61" s="369">
        <f t="shared" si="0"/>
        <v>0.97994139910447053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5"/>
      <c r="D62" s="498"/>
      <c r="E62" s="368">
        <v>3</v>
      </c>
      <c r="F62" s="370">
        <v>28303540</v>
      </c>
      <c r="G62" s="453">
        <f>IF(ISBLANK(F62),"-",(F62/$D$50*$D$47*$B$68)*($B$57/$D$60))</f>
        <v>73.545560288120868</v>
      </c>
      <c r="H62" s="369">
        <f t="shared" si="0"/>
        <v>0.98060747050827823</v>
      </c>
      <c r="L62" s="295"/>
    </row>
    <row r="63" spans="1:12" ht="27" customHeight="1" x14ac:dyDescent="0.4">
      <c r="A63" s="307" t="s">
        <v>96</v>
      </c>
      <c r="B63" s="308">
        <v>1</v>
      </c>
      <c r="C63" s="505"/>
      <c r="D63" s="499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4" t="s">
        <v>98</v>
      </c>
      <c r="D64" s="497">
        <v>39.909999999999997</v>
      </c>
      <c r="E64" s="365">
        <v>1</v>
      </c>
      <c r="F64" s="366">
        <v>26120481</v>
      </c>
      <c r="G64" s="454">
        <f>IF(ISBLANK(F64),"-",(F64/$D$50*$D$47*$B$68)*($B$57/$D$64))</f>
        <v>70.832105517721843</v>
      </c>
      <c r="H64" s="373">
        <f t="shared" si="0"/>
        <v>0.94442807356962455</v>
      </c>
    </row>
    <row r="65" spans="1:8" ht="26.25" customHeight="1" x14ac:dyDescent="0.4">
      <c r="A65" s="307" t="s">
        <v>99</v>
      </c>
      <c r="B65" s="308">
        <v>1</v>
      </c>
      <c r="C65" s="495"/>
      <c r="D65" s="498"/>
      <c r="E65" s="368">
        <v>2</v>
      </c>
      <c r="F65" s="320">
        <v>26142589</v>
      </c>
      <c r="G65" s="455">
        <f>IF(ISBLANK(F65),"-",(F65/$D$50*$D$47*$B$68)*($B$57/$D$64))</f>
        <v>70.892056794606276</v>
      </c>
      <c r="H65" s="374">
        <f t="shared" si="0"/>
        <v>0.94522742392808368</v>
      </c>
    </row>
    <row r="66" spans="1:8" ht="26.25" customHeight="1" x14ac:dyDescent="0.4">
      <c r="A66" s="307" t="s">
        <v>100</v>
      </c>
      <c r="B66" s="308">
        <v>1</v>
      </c>
      <c r="C66" s="495"/>
      <c r="D66" s="498"/>
      <c r="E66" s="368">
        <v>3</v>
      </c>
      <c r="F66" s="320">
        <v>26161266</v>
      </c>
      <c r="G66" s="455">
        <f>IF(ISBLANK(F66),"-",(F66/$D$50*$D$47*$B$68)*($B$57/$D$64))</f>
        <v>70.942704071536369</v>
      </c>
      <c r="H66" s="374">
        <f t="shared" si="0"/>
        <v>0.94590272095381822</v>
      </c>
    </row>
    <row r="67" spans="1:8" ht="27" customHeight="1" x14ac:dyDescent="0.4">
      <c r="A67" s="307" t="s">
        <v>101</v>
      </c>
      <c r="B67" s="308">
        <v>1</v>
      </c>
      <c r="C67" s="505"/>
      <c r="D67" s="499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</v>
      </c>
      <c r="C68" s="494" t="s">
        <v>103</v>
      </c>
      <c r="D68" s="497">
        <v>40.340000000000003</v>
      </c>
      <c r="E68" s="365">
        <v>1</v>
      </c>
      <c r="F68" s="366">
        <v>26913241</v>
      </c>
      <c r="G68" s="454">
        <f>IF(ISBLANK(F68),"-",(F68/$D$50*$D$47*$B$68)*($B$57/$D$68))</f>
        <v>72.203926563232088</v>
      </c>
      <c r="H68" s="369">
        <f t="shared" si="0"/>
        <v>0.96271902084309446</v>
      </c>
    </row>
    <row r="69" spans="1:8" ht="27" customHeight="1" x14ac:dyDescent="0.4">
      <c r="A69" s="355" t="s">
        <v>104</v>
      </c>
      <c r="B69" s="377">
        <f>(D47*B68)/B56*B57</f>
        <v>39.923520000000003</v>
      </c>
      <c r="C69" s="495"/>
      <c r="D69" s="498"/>
      <c r="E69" s="368">
        <v>2</v>
      </c>
      <c r="F69" s="320">
        <v>26927935</v>
      </c>
      <c r="G69" s="455">
        <f>IF(ISBLANK(F69),"-",(F69/$D$50*$D$47*$B$68)*($B$57/$D$68))</f>
        <v>72.243348218056937</v>
      </c>
      <c r="H69" s="369">
        <f t="shared" si="0"/>
        <v>0.96324464290742584</v>
      </c>
    </row>
    <row r="70" spans="1:8" ht="26.25" customHeight="1" x14ac:dyDescent="0.4">
      <c r="A70" s="500" t="s">
        <v>77</v>
      </c>
      <c r="B70" s="501"/>
      <c r="C70" s="495"/>
      <c r="D70" s="498"/>
      <c r="E70" s="368">
        <v>3</v>
      </c>
      <c r="F70" s="320">
        <v>26917759</v>
      </c>
      <c r="G70" s="455">
        <f>IF(ISBLANK(F70),"-",(F70/$D$50*$D$47*$B$68)*($B$57/$D$68))</f>
        <v>72.21604763554042</v>
      </c>
      <c r="H70" s="369">
        <f t="shared" si="0"/>
        <v>0.9628806351405389</v>
      </c>
    </row>
    <row r="71" spans="1:8" ht="27" customHeight="1" x14ac:dyDescent="0.4">
      <c r="A71" s="502"/>
      <c r="B71" s="503"/>
      <c r="C71" s="496"/>
      <c r="D71" s="499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72.217706680155686</v>
      </c>
      <c r="H72" s="382">
        <f>AVERAGE(H60:H71)</f>
        <v>0.96290275573540896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1.5922311188570761E-2</v>
      </c>
      <c r="H73" s="457">
        <f>STDEV(H60:H71)/H72</f>
        <v>1.5922311188570768E-2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481" t="str">
        <f>B20</f>
        <v xml:space="preserve"> Isoniazid </v>
      </c>
      <c r="D76" s="481"/>
      <c r="E76" s="388" t="s">
        <v>107</v>
      </c>
      <c r="F76" s="388"/>
      <c r="G76" s="389">
        <f>H72</f>
        <v>0.96290275573540896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4" t="str">
        <f>B26</f>
        <v>Isoniazid</v>
      </c>
      <c r="C79" s="504"/>
    </row>
    <row r="80" spans="1:8" ht="26.25" customHeight="1" x14ac:dyDescent="0.4">
      <c r="A80" s="292" t="s">
        <v>47</v>
      </c>
      <c r="B80" s="504" t="str">
        <f>B27</f>
        <v>I8-2</v>
      </c>
      <c r="C80" s="504"/>
    </row>
    <row r="81" spans="1:12" ht="27" customHeight="1" x14ac:dyDescent="0.4">
      <c r="A81" s="292" t="s">
        <v>6</v>
      </c>
      <c r="B81" s="391">
        <v>98.5</v>
      </c>
    </row>
    <row r="82" spans="1:12" s="14" customFormat="1" ht="27" customHeight="1" x14ac:dyDescent="0.4">
      <c r="A82" s="292" t="s">
        <v>48</v>
      </c>
      <c r="B82" s="294">
        <v>0</v>
      </c>
      <c r="C82" s="483" t="s">
        <v>49</v>
      </c>
      <c r="D82" s="484"/>
      <c r="E82" s="484"/>
      <c r="F82" s="484"/>
      <c r="G82" s="485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6" t="s">
        <v>110</v>
      </c>
      <c r="D84" s="487"/>
      <c r="E84" s="487"/>
      <c r="F84" s="487"/>
      <c r="G84" s="487"/>
      <c r="H84" s="488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6" t="s">
        <v>111</v>
      </c>
      <c r="D85" s="487"/>
      <c r="E85" s="487"/>
      <c r="F85" s="487"/>
      <c r="G85" s="487"/>
      <c r="H85" s="488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100</v>
      </c>
      <c r="D89" s="392" t="s">
        <v>58</v>
      </c>
      <c r="E89" s="393"/>
      <c r="F89" s="489" t="s">
        <v>59</v>
      </c>
      <c r="G89" s="490"/>
    </row>
    <row r="90" spans="1:12" ht="27" customHeight="1" x14ac:dyDescent="0.4">
      <c r="A90" s="307" t="s">
        <v>60</v>
      </c>
      <c r="B90" s="308">
        <v>1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1</v>
      </c>
      <c r="C91" s="396">
        <v>1</v>
      </c>
      <c r="D91" s="315">
        <v>33672014</v>
      </c>
      <c r="E91" s="316">
        <f>IF(ISBLANK(D91),"-",$D$101/$D$98*D91)</f>
        <v>28891806.783977374</v>
      </c>
      <c r="F91" s="315">
        <v>27605097</v>
      </c>
      <c r="G91" s="317">
        <f>IF(ISBLANK(F91),"-",$D$101/$F$98*F91)</f>
        <v>28761780.775674522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33668892</v>
      </c>
      <c r="E92" s="321">
        <f>IF(ISBLANK(D92),"-",$D$101/$D$98*D92)</f>
        <v>28889127.99497534</v>
      </c>
      <c r="F92" s="320">
        <v>27617567</v>
      </c>
      <c r="G92" s="322">
        <f>IF(ISBLANK(F92),"-",$D$101/$F$98*F92)</f>
        <v>28774773.282321852</v>
      </c>
      <c r="I92" s="491">
        <f>ABS((F96/D96*D95)-F95)/D95</f>
        <v>3.3791889042000286E-3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33629878</v>
      </c>
      <c r="E93" s="321">
        <f>IF(ISBLANK(D93),"-",$D$101/$D$98*D93)</f>
        <v>28855652.570848048</v>
      </c>
      <c r="F93" s="320">
        <v>27588547</v>
      </c>
      <c r="G93" s="322">
        <f>IF(ISBLANK(F93),"-",$D$101/$F$98*F93)</f>
        <v>28744537.312561989</v>
      </c>
      <c r="I93" s="491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33656928</v>
      </c>
      <c r="E95" s="331">
        <f>AVERAGE(E91:E94)</f>
        <v>28878862.449933589</v>
      </c>
      <c r="F95" s="401">
        <f>AVERAGE(F91:F94)</f>
        <v>27603737</v>
      </c>
      <c r="G95" s="402">
        <f>AVERAGE(G91:G94)</f>
        <v>28760363.790186122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9.86</v>
      </c>
      <c r="E96" s="323"/>
      <c r="F96" s="335">
        <v>8.1199999999999992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9.86</v>
      </c>
      <c r="E97" s="338"/>
      <c r="F97" s="337">
        <f>F96*$B$87</f>
        <v>8.1199999999999992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9.7120999999999995</v>
      </c>
      <c r="E98" s="341"/>
      <c r="F98" s="340">
        <f>F97*$B$83/100</f>
        <v>7.9981999999999998</v>
      </c>
    </row>
    <row r="99" spans="1:10" ht="19.5" customHeight="1" x14ac:dyDescent="0.3">
      <c r="A99" s="477" t="s">
        <v>77</v>
      </c>
      <c r="B99" s="492"/>
      <c r="C99" s="405" t="s">
        <v>115</v>
      </c>
      <c r="D99" s="409">
        <f>D98/$B$98</f>
        <v>9.7120999999999999E-2</v>
      </c>
      <c r="E99" s="341"/>
      <c r="F99" s="344">
        <f>F98/$B$98</f>
        <v>7.9981999999999998E-2</v>
      </c>
      <c r="G99" s="410"/>
      <c r="H99" s="333"/>
    </row>
    <row r="100" spans="1:10" ht="19.5" customHeight="1" x14ac:dyDescent="0.3">
      <c r="A100" s="479"/>
      <c r="B100" s="493"/>
      <c r="C100" s="405" t="s">
        <v>79</v>
      </c>
      <c r="D100" s="411">
        <f>$B$56/$B$116</f>
        <v>8.3333333333333329E-2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8.3333333333333321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8.3333333333333321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28819613.120059852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2.31908387122298E-3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26184678</v>
      </c>
      <c r="E108" s="458">
        <f t="shared" ref="E108:E113" si="1">IF(ISBLANK(D108),"-",D108/$D$103*$D$100*$B$116)</f>
        <v>68.142859580341295</v>
      </c>
      <c r="F108" s="428">
        <f t="shared" ref="F108:F113" si="2">IF(ISBLANK(D108), "-", E108/$B$56)</f>
        <v>0.90857146107121722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26904358</v>
      </c>
      <c r="E109" s="459">
        <f t="shared" si="1"/>
        <v>70.015750787282229</v>
      </c>
      <c r="F109" s="429">
        <f t="shared" si="2"/>
        <v>0.93354334383042969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28326153</v>
      </c>
      <c r="E110" s="459">
        <f t="shared" si="1"/>
        <v>73.715822143402448</v>
      </c>
      <c r="F110" s="429">
        <f t="shared" si="2"/>
        <v>0.98287762857869931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26957568</v>
      </c>
      <c r="E111" s="459">
        <f t="shared" si="1"/>
        <v>70.154224193686929</v>
      </c>
      <c r="F111" s="429">
        <f t="shared" si="2"/>
        <v>0.93538965591582568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26170567</v>
      </c>
      <c r="E112" s="459">
        <f t="shared" si="1"/>
        <v>68.106137192861922</v>
      </c>
      <c r="F112" s="429">
        <f t="shared" si="2"/>
        <v>0.90808182923815894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28402158</v>
      </c>
      <c r="E113" s="460">
        <f t="shared" si="1"/>
        <v>73.913617130318229</v>
      </c>
      <c r="F113" s="432">
        <f t="shared" si="2"/>
        <v>0.98551489507090972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70.674735171315504</v>
      </c>
      <c r="F115" s="435">
        <f>AVERAGE(F108:F113)</f>
        <v>0.94232980228420693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3.6598296005658497E-2</v>
      </c>
      <c r="F116" s="437">
        <f>STDEV(F108:F113)/F115</f>
        <v>3.6598296005658504E-2</v>
      </c>
      <c r="I116" s="281"/>
    </row>
    <row r="117" spans="1:10" ht="27" customHeight="1" x14ac:dyDescent="0.4">
      <c r="A117" s="477" t="s">
        <v>77</v>
      </c>
      <c r="B117" s="478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9"/>
      <c r="B118" s="480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481" t="str">
        <f>B20</f>
        <v xml:space="preserve"> Isoniazid </v>
      </c>
      <c r="D120" s="481"/>
      <c r="E120" s="388" t="s">
        <v>123</v>
      </c>
      <c r="F120" s="388"/>
      <c r="G120" s="389">
        <f>F115</f>
        <v>0.94232980228420693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2" t="s">
        <v>25</v>
      </c>
      <c r="C122" s="482"/>
      <c r="E122" s="394" t="s">
        <v>26</v>
      </c>
      <c r="F122" s="443"/>
      <c r="G122" s="482" t="s">
        <v>27</v>
      </c>
      <c r="H122" s="482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2016-06-13T16:16:30Z</cp:lastPrinted>
  <dcterms:created xsi:type="dcterms:W3CDTF">2005-07-05T10:19:27Z</dcterms:created>
  <dcterms:modified xsi:type="dcterms:W3CDTF">2016-06-13T16:23:20Z</dcterms:modified>
</cp:coreProperties>
</file>