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B31" i="5"/>
  <c r="C120" i="4" l="1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D97" i="3" s="1"/>
  <c r="B83" i="3"/>
  <c r="B81" i="3"/>
  <c r="C76" i="3"/>
  <c r="B68" i="3"/>
  <c r="C56" i="3"/>
  <c r="B55" i="3"/>
  <c r="B45" i="3"/>
  <c r="D48" i="3" s="1"/>
  <c r="F42" i="3"/>
  <c r="D42" i="3"/>
  <c r="B34" i="3"/>
  <c r="D44" i="3" s="1"/>
  <c r="B30" i="3"/>
  <c r="D50" i="2"/>
  <c r="B49" i="2"/>
  <c r="C46" i="2"/>
  <c r="C50" i="2" s="1"/>
  <c r="C45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7" i="3"/>
  <c r="F98" i="3" s="1"/>
  <c r="D101" i="3"/>
  <c r="D102" i="3" s="1"/>
  <c r="I39" i="3"/>
  <c r="D49" i="3"/>
  <c r="F44" i="3"/>
  <c r="F45" i="3" s="1"/>
  <c r="D45" i="3"/>
  <c r="D98" i="3"/>
  <c r="D99" i="3" s="1"/>
  <c r="E41" i="3"/>
  <c r="D101" i="4"/>
  <c r="E93" i="4" s="1"/>
  <c r="F97" i="4"/>
  <c r="F98" i="4" s="1"/>
  <c r="I92" i="4"/>
  <c r="D49" i="4"/>
  <c r="D44" i="4"/>
  <c r="D45" i="4" s="1"/>
  <c r="F45" i="4"/>
  <c r="F46" i="4" s="1"/>
  <c r="D98" i="4"/>
  <c r="D99" i="4" s="1"/>
  <c r="I39" i="4"/>
  <c r="G41" i="4"/>
  <c r="E40" i="3"/>
  <c r="E38" i="3"/>
  <c r="D46" i="3"/>
  <c r="E39" i="3"/>
  <c r="G94" i="4"/>
  <c r="E94" i="4"/>
  <c r="E94" i="3"/>
  <c r="E41" i="4"/>
  <c r="D43" i="2"/>
  <c r="C49" i="2"/>
  <c r="D24" i="2"/>
  <c r="D28" i="2"/>
  <c r="D32" i="2"/>
  <c r="D36" i="2"/>
  <c r="D40" i="2"/>
  <c r="D49" i="2"/>
  <c r="B57" i="3"/>
  <c r="B69" i="3" s="1"/>
  <c r="B57" i="4"/>
  <c r="B69" i="4" s="1"/>
  <c r="E91" i="3" l="1"/>
  <c r="E92" i="3"/>
  <c r="F99" i="3"/>
  <c r="G92" i="3"/>
  <c r="E93" i="3"/>
  <c r="G91" i="3"/>
  <c r="G38" i="3"/>
  <c r="G39" i="3"/>
  <c r="F46" i="3"/>
  <c r="G40" i="3"/>
  <c r="G41" i="3"/>
  <c r="G94" i="3"/>
  <c r="G93" i="3"/>
  <c r="D102" i="4"/>
  <c r="F99" i="4"/>
  <c r="G93" i="4"/>
  <c r="G91" i="4"/>
  <c r="G92" i="4"/>
  <c r="D46" i="4"/>
  <c r="E38" i="4"/>
  <c r="E42" i="4" s="1"/>
  <c r="G39" i="4"/>
  <c r="G40" i="4"/>
  <c r="E39" i="4"/>
  <c r="E40" i="4"/>
  <c r="G38" i="4"/>
  <c r="E91" i="4"/>
  <c r="E92" i="4"/>
  <c r="E42" i="3"/>
  <c r="E95" i="3" l="1"/>
  <c r="D105" i="3"/>
  <c r="D50" i="3"/>
  <c r="G66" i="3" s="1"/>
  <c r="H66" i="3" s="1"/>
  <c r="G42" i="3"/>
  <c r="D52" i="3"/>
  <c r="D103" i="3"/>
  <c r="E112" i="3" s="1"/>
  <c r="F112" i="3" s="1"/>
  <c r="G95" i="3"/>
  <c r="E95" i="4"/>
  <c r="G95" i="4"/>
  <c r="D105" i="4"/>
  <c r="D103" i="4"/>
  <c r="E108" i="4" s="1"/>
  <c r="D52" i="4"/>
  <c r="D50" i="4"/>
  <c r="G71" i="4" s="1"/>
  <c r="H71" i="4" s="1"/>
  <c r="G42" i="4"/>
  <c r="G68" i="3"/>
  <c r="H68" i="3" s="1"/>
  <c r="G71" i="3"/>
  <c r="H71" i="3" s="1"/>
  <c r="G69" i="3"/>
  <c r="H69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E108" i="3" l="1"/>
  <c r="F108" i="3" s="1"/>
  <c r="D104" i="3"/>
  <c r="E113" i="3"/>
  <c r="F113" i="3" s="1"/>
  <c r="E109" i="3"/>
  <c r="F109" i="3" s="1"/>
  <c r="E110" i="3"/>
  <c r="F110" i="3" s="1"/>
  <c r="E111" i="3"/>
  <c r="F111" i="3" s="1"/>
  <c r="E112" i="4"/>
  <c r="F112" i="4" s="1"/>
  <c r="E110" i="4"/>
  <c r="F110" i="4" s="1"/>
  <c r="E109" i="4"/>
  <c r="F109" i="4" s="1"/>
  <c r="D104" i="4"/>
  <c r="E111" i="4"/>
  <c r="F111" i="4" s="1"/>
  <c r="E113" i="4"/>
  <c r="F113" i="4" s="1"/>
  <c r="G66" i="4"/>
  <c r="H66" i="4" s="1"/>
  <c r="G70" i="4"/>
  <c r="H70" i="4" s="1"/>
  <c r="G63" i="4"/>
  <c r="H63" i="4" s="1"/>
  <c r="G68" i="4"/>
  <c r="H68" i="4" s="1"/>
  <c r="D51" i="4"/>
  <c r="G61" i="4"/>
  <c r="H61" i="4" s="1"/>
  <c r="G64" i="4"/>
  <c r="H64" i="4" s="1"/>
  <c r="G65" i="4"/>
  <c r="H65" i="4" s="1"/>
  <c r="G60" i="4"/>
  <c r="H60" i="4" s="1"/>
  <c r="G69" i="4"/>
  <c r="H69" i="4" s="1"/>
  <c r="G67" i="4"/>
  <c r="H67" i="4" s="1"/>
  <c r="G62" i="4"/>
  <c r="H62" i="4" s="1"/>
  <c r="H60" i="3"/>
  <c r="G74" i="3"/>
  <c r="G72" i="3"/>
  <c r="G73" i="3" s="1"/>
  <c r="F108" i="4"/>
  <c r="E117" i="3" l="1"/>
  <c r="E115" i="3"/>
  <c r="E116" i="3" s="1"/>
  <c r="E117" i="4"/>
  <c r="E115" i="4"/>
  <c r="E116" i="4" s="1"/>
  <c r="G72" i="4"/>
  <c r="G73" i="4" s="1"/>
  <c r="G74" i="4"/>
  <c r="F117" i="4"/>
  <c r="F115" i="4"/>
  <c r="H74" i="3"/>
  <c r="H72" i="3"/>
  <c r="F117" i="3"/>
  <c r="F115" i="3"/>
  <c r="H74" i="4"/>
  <c r="H72" i="4"/>
  <c r="G120" i="3" l="1"/>
  <c r="F116" i="3"/>
  <c r="G120" i="4"/>
  <c r="F116" i="4"/>
  <c r="G76" i="4"/>
  <c r="H73" i="4"/>
  <c r="G76" i="3"/>
  <c r="H73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<sst xmlns="http://schemas.openxmlformats.org/spreadsheetml/2006/main" count="442" uniqueCount="133">
  <si>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</si>
  <si>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</si>
  <si>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</si>
  <si>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</si>
  <si>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</si>
  <si>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</si>
  <si>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</si>
  <si>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NDQD2016061097</t>
  </si>
  <si>
    <t>Weight (mg):</t>
  </si>
  <si>
    <t>Rifampicin 150mg &amp; Isoniazid 75mg</t>
  </si>
  <si>
    <t>Standard Conc (mg/mL):</t>
  </si>
  <si>
    <t>2016-06-09 15:38:15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</si>
  <si>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</si>
  <si>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</si>
  <si>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</si>
  <si>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</si>
  <si>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</si>
  <si>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</si>
  <si>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</si>
  <si>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</si>
  <si>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</si>
  <si>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</si>
  <si>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</si>
  <si>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</si>
  <si>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</si>
  <si>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</si>
  <si>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</si>
  <si>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</si>
  <si>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</si>
  <si>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</si>
  <si>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</si>
  <si>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</si>
  <si>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</si>
  <si>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</si>
  <si>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</si>
  <si>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</si>
  <si>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</si>
  <si>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</si>
  <si>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</si>
  <si>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</si>
  <si>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</si>
  <si>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</si>
  <si>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</si>
  <si>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</si>
  <si>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</si>
  <si>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</si>
  <si>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</si>
  <si>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</si>
  <si>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</si>
  <si>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</si>
  <si>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</si>
  <si>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</si>
  <si>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</si>
  <si>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</si>
  <si>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</si>
  <si>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</si>
  <si>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</si>
  <si>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</si>
  <si>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</si>
  <si>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</si>
  <si>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</si>
  <si>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</si>
  <si>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</si>
  <si>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</si>
  <si>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</si>
  <si>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</si>
  <si>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</si>
  <si>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</si>
  <si>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</si>
  <si>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</si>
  <si>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</si>
  <si>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</si>
  <si>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</si>
  <si>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</si>
  <si>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</si>
  <si>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</si>
  <si>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</si>
  <si>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</si>
  <si>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</si>
  <si>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</si>
  <si>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</si>
  <si>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</si>
  <si>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</si>
  <si>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</si>
  <si>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</si>
  <si>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</si>
  <si>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</si>
  <si>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</si>
  <si>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</si>
  <si>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</si>
  <si>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</si>
  <si>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</si>
  <si>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</si>
  <si>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</si>
  <si>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</si>
  <si>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</si>
  <si>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</si>
  <si>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</si>
  <si>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</si>
  <si>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</si>
  <si>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</si>
  <si>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</si>
  <si>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</si>
  <si>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</si>
  <si>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</si>
  <si>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</si>
  <si>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</si>
  <si>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</si>
  <si>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</si>
  <si>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</si>
  <si>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</si>
  <si>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</si>
  <si>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</si>
  <si>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</si>
  <si>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</si>
  <si>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</si>
  <si>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</si>
  <si>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</si>
  <si>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</si>
  <si>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</si>
  <si>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</si>
  <si>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</si>
  <si>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</si>
  <si>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</si>
  <si>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R5-1</t>
  </si>
  <si>
    <t>Rifampicin</t>
  </si>
  <si>
    <t>Rifampicin and Isoniazid Tablets</t>
  </si>
  <si>
    <t>Isoniazid</t>
  </si>
  <si>
    <t>RUTTO/JOYFRIDA</t>
  </si>
  <si>
    <t>13/06/2016</t>
  </si>
  <si>
    <t xml:space="preserve">Rifampicin </t>
  </si>
  <si>
    <t xml:space="preserve"> Isoniazid 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</si>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</sst>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5" sqref="A15:G6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126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25</v>
      </c>
      <c r="C59" s="4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128</v>
      </c>
      <c r="C60" s="48"/>
      <c r="E60" s="48" t="s">
        <v>129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30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31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32</v>
      </c>
      <c r="B14" s="474"/>
      <c r="C14" s="60" t="s">
        <v>5</v>
      </c>
    </row>
    <row r="15" spans="1:7" ht="16.5" customHeight="1" x14ac:dyDescent="0.3">
      <c r="A15" s="474" t="s">
        <v>33</v>
      </c>
      <c r="B15" s="474"/>
      <c r="C15" s="60" t="s">
        <v>7</v>
      </c>
    </row>
    <row r="16" spans="1:7" ht="16.5" customHeight="1" x14ac:dyDescent="0.3">
      <c r="A16" s="474" t="s">
        <v>34</v>
      </c>
      <c r="B16" s="474"/>
      <c r="C16" s="60" t="s">
        <v>9</v>
      </c>
    </row>
    <row r="17" spans="1:5" ht="16.5" customHeight="1" x14ac:dyDescent="0.3">
      <c r="A17" s="474" t="s">
        <v>35</v>
      </c>
      <c r="B17" s="474"/>
      <c r="C17" s="60" t="s">
        <v>9</v>
      </c>
    </row>
    <row r="18" spans="1:5" ht="16.5" customHeight="1" x14ac:dyDescent="0.3">
      <c r="A18" s="474" t="s">
        <v>36</v>
      </c>
      <c r="B18" s="474"/>
      <c r="C18" s="97" t="s">
        <v>11</v>
      </c>
    </row>
    <row r="19" spans="1:5" ht="16.5" customHeight="1" x14ac:dyDescent="0.3">
      <c r="A19" s="474" t="s">
        <v>37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38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378.63</v>
      </c>
      <c r="D24" s="87">
        <f t="shared" ref="D24:D43" si="0">(C24-$C$46)/$C$46</f>
        <v>6.8393705226321546E-3</v>
      </c>
      <c r="E24" s="53"/>
    </row>
    <row r="25" spans="1:5" ht="15.75" customHeight="1" x14ac:dyDescent="0.3">
      <c r="C25" s="95">
        <v>376.65</v>
      </c>
      <c r="D25" s="88">
        <f t="shared" si="0"/>
        <v>1.5742252524876071E-3</v>
      </c>
      <c r="E25" s="53"/>
    </row>
    <row r="26" spans="1:5" ht="15.75" customHeight="1" x14ac:dyDescent="0.3">
      <c r="C26" s="95">
        <v>378.34</v>
      </c>
      <c r="D26" s="88">
        <f t="shared" si="0"/>
        <v>6.0682128820553809E-3</v>
      </c>
      <c r="E26" s="53"/>
    </row>
    <row r="27" spans="1:5" ht="15.75" customHeight="1" x14ac:dyDescent="0.3">
      <c r="C27" s="95">
        <v>375.64</v>
      </c>
      <c r="D27" s="88">
        <f t="shared" si="0"/>
        <v>-1.1115306681416335E-3</v>
      </c>
      <c r="E27" s="53"/>
    </row>
    <row r="28" spans="1:5" ht="15.75" customHeight="1" x14ac:dyDescent="0.3">
      <c r="C28" s="95">
        <v>378.31</v>
      </c>
      <c r="D28" s="88">
        <f t="shared" si="0"/>
        <v>5.9884379537199304E-3</v>
      </c>
      <c r="E28" s="53"/>
    </row>
    <row r="29" spans="1:5" ht="15.75" customHeight="1" x14ac:dyDescent="0.3">
      <c r="C29" s="95">
        <v>378.2</v>
      </c>
      <c r="D29" s="88">
        <f t="shared" si="0"/>
        <v>5.6959298831563109E-3</v>
      </c>
      <c r="E29" s="53"/>
    </row>
    <row r="30" spans="1:5" ht="15.75" customHeight="1" x14ac:dyDescent="0.3">
      <c r="C30" s="95">
        <v>380.91</v>
      </c>
      <c r="D30" s="88">
        <f t="shared" si="0"/>
        <v>1.290226507613196E-2</v>
      </c>
      <c r="E30" s="53"/>
    </row>
    <row r="31" spans="1:5" ht="15.75" customHeight="1" x14ac:dyDescent="0.3">
      <c r="C31" s="95">
        <v>369.02</v>
      </c>
      <c r="D31" s="88">
        <f t="shared" si="0"/>
        <v>-1.8715198187513656E-2</v>
      </c>
      <c r="E31" s="53"/>
    </row>
    <row r="32" spans="1:5" ht="15.75" customHeight="1" x14ac:dyDescent="0.3">
      <c r="C32" s="95">
        <v>375.94</v>
      </c>
      <c r="D32" s="88">
        <f t="shared" si="0"/>
        <v>-3.1378138478637606E-4</v>
      </c>
      <c r="E32" s="53"/>
    </row>
    <row r="33" spans="1:7" ht="15.75" customHeight="1" x14ac:dyDescent="0.3">
      <c r="C33" s="95">
        <v>380.54</v>
      </c>
      <c r="D33" s="88">
        <f t="shared" si="0"/>
        <v>1.1918374293327167E-2</v>
      </c>
      <c r="E33" s="53"/>
    </row>
    <row r="34" spans="1:7" ht="15.75" customHeight="1" x14ac:dyDescent="0.3">
      <c r="C34" s="95">
        <v>372.54</v>
      </c>
      <c r="D34" s="88">
        <f t="shared" si="0"/>
        <v>-9.3549399294788893E-3</v>
      </c>
      <c r="E34" s="53"/>
    </row>
    <row r="35" spans="1:7" ht="15.75" customHeight="1" x14ac:dyDescent="0.3">
      <c r="C35" s="95">
        <v>373.38</v>
      </c>
      <c r="D35" s="88">
        <f t="shared" si="0"/>
        <v>-7.1212419360843207E-3</v>
      </c>
      <c r="E35" s="53"/>
    </row>
    <row r="36" spans="1:7" ht="15.75" customHeight="1" x14ac:dyDescent="0.3">
      <c r="C36" s="95">
        <v>374.93</v>
      </c>
      <c r="D36" s="88">
        <f t="shared" si="0"/>
        <v>-2.9995373054156164E-3</v>
      </c>
      <c r="E36" s="53"/>
    </row>
    <row r="37" spans="1:7" ht="15.75" customHeight="1" x14ac:dyDescent="0.3">
      <c r="C37" s="95">
        <v>373.65</v>
      </c>
      <c r="D37" s="88">
        <f t="shared" si="0"/>
        <v>-6.4032675810646641E-3</v>
      </c>
      <c r="E37" s="53"/>
    </row>
    <row r="38" spans="1:7" ht="15.75" customHeight="1" x14ac:dyDescent="0.3">
      <c r="C38" s="95">
        <v>380.97</v>
      </c>
      <c r="D38" s="88">
        <f t="shared" si="0"/>
        <v>1.3061814932803012E-2</v>
      </c>
      <c r="E38" s="53"/>
    </row>
    <row r="39" spans="1:7" ht="15.75" customHeight="1" x14ac:dyDescent="0.3">
      <c r="C39" s="95">
        <v>372.81</v>
      </c>
      <c r="D39" s="88">
        <f t="shared" si="0"/>
        <v>-8.6369655744592336E-3</v>
      </c>
      <c r="E39" s="53"/>
    </row>
    <row r="40" spans="1:7" ht="15.75" customHeight="1" x14ac:dyDescent="0.3">
      <c r="C40" s="95">
        <v>376.04</v>
      </c>
      <c r="D40" s="88">
        <f t="shared" si="0"/>
        <v>-4.7864957001239865E-5</v>
      </c>
      <c r="E40" s="53"/>
    </row>
    <row r="41" spans="1:7" ht="15.75" customHeight="1" x14ac:dyDescent="0.3">
      <c r="C41" s="95">
        <v>374.15</v>
      </c>
      <c r="D41" s="88">
        <f t="shared" si="0"/>
        <v>-5.0736854421392858E-3</v>
      </c>
      <c r="E41" s="53"/>
    </row>
    <row r="42" spans="1:7" ht="15.75" customHeight="1" x14ac:dyDescent="0.3">
      <c r="C42" s="95">
        <v>378.35</v>
      </c>
      <c r="D42" s="88">
        <f t="shared" si="0"/>
        <v>6.0948045248340153E-3</v>
      </c>
      <c r="E42" s="53"/>
    </row>
    <row r="43" spans="1:7" ht="16.5" customHeight="1" x14ac:dyDescent="0.3">
      <c r="C43" s="96">
        <v>372.16</v>
      </c>
      <c r="D43" s="89">
        <f t="shared" si="0"/>
        <v>-1.0365422355062165E-2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7521.16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376.05799999999999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7">
        <f>C46</f>
        <v>376.05799999999999</v>
      </c>
      <c r="C49" s="93">
        <f>-IF(C46&lt;=80,10%,IF(C46&lt;250,7.5%,5%))</f>
        <v>-0.05</v>
      </c>
      <c r="D49" s="81">
        <f>IF(C46&lt;=80,C46*0.9,IF(C46&lt;250,C46*0.925,C46*0.95))</f>
        <v>357.25509999999997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394.86090000000002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32</v>
      </c>
      <c r="B18" s="508" t="s">
        <v>5</v>
      </c>
      <c r="C18" s="508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3" t="s">
        <v>130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125</v>
      </c>
      <c r="C26" s="508"/>
    </row>
    <row r="27" spans="1:14" ht="26.25" customHeight="1" x14ac:dyDescent="0.4">
      <c r="A27" s="109" t="s">
        <v>47</v>
      </c>
      <c r="B27" s="506" t="s">
        <v>124</v>
      </c>
      <c r="C27" s="506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48</v>
      </c>
      <c r="B29" s="111">
        <v>0</v>
      </c>
      <c r="C29" s="483" t="s">
        <v>49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6" t="s">
        <v>52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6" t="s">
        <v>54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89" t="s">
        <v>58</v>
      </c>
      <c r="E36" s="507"/>
      <c r="F36" s="489" t="s">
        <v>59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1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77" t="s">
        <v>77</v>
      </c>
      <c r="B46" s="478"/>
      <c r="C46" s="153" t="s">
        <v>78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79"/>
      <c r="B47" s="480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Rifampicin 150mg &amp; Isoniazid 75mg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Rifampicin </v>
      </c>
      <c r="H56" s="179"/>
    </row>
    <row r="57" spans="1:12" ht="18.75" x14ac:dyDescent="0.3">
      <c r="A57" s="176" t="s">
        <v>87</v>
      </c>
      <c r="B57" s="268">
        <f>Uniformity!C46</f>
        <v>376.05799999999999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4" t="s">
        <v>93</v>
      </c>
      <c r="D60" s="497">
        <v>38.94</v>
      </c>
      <c r="E60" s="182">
        <v>1</v>
      </c>
      <c r="F60" s="183">
        <v>49249440</v>
      </c>
      <c r="G60" s="269">
        <f>IF(ISBLANK(F60),"-",(F60/$D$50*$D$47*$B$68)*($B$57/$D$60))</f>
        <v>151.8513237818751</v>
      </c>
      <c r="H60" s="184">
        <f t="shared" ref="H60:H71" si="0">IF(ISBLANK(F60),"-",G60/$B$56)</f>
        <v>1.0123421585458339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5"/>
      <c r="D61" s="498"/>
      <c r="E61" s="185">
        <v>2</v>
      </c>
      <c r="F61" s="137">
        <v>49404519</v>
      </c>
      <c r="G61" s="270">
        <f>IF(ISBLANK(F61),"-",(F61/$D$50*$D$47*$B$68)*($B$57/$D$60))</f>
        <v>152.3294805170739</v>
      </c>
      <c r="H61" s="186">
        <f t="shared" si="0"/>
        <v>1.015529870113826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5"/>
      <c r="D62" s="498"/>
      <c r="E62" s="185">
        <v>3</v>
      </c>
      <c r="F62" s="187">
        <v>49329738</v>
      </c>
      <c r="G62" s="270">
        <f>IF(ISBLANK(F62),"-",(F62/$D$50*$D$47*$B$68)*($B$57/$D$60))</f>
        <v>152.09890746195427</v>
      </c>
      <c r="H62" s="186">
        <f t="shared" si="0"/>
        <v>1.0139927164130285</v>
      </c>
      <c r="L62" s="112"/>
    </row>
    <row r="63" spans="1:12" ht="27" customHeight="1" x14ac:dyDescent="0.4">
      <c r="A63" s="124" t="s">
        <v>96</v>
      </c>
      <c r="B63" s="125">
        <v>1</v>
      </c>
      <c r="C63" s="505"/>
      <c r="D63" s="49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4" t="s">
        <v>98</v>
      </c>
      <c r="D64" s="497"/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99</v>
      </c>
      <c r="B65" s="125">
        <v>1</v>
      </c>
      <c r="C65" s="495"/>
      <c r="D65" s="498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100</v>
      </c>
      <c r="B66" s="125">
        <v>1</v>
      </c>
      <c r="C66" s="495"/>
      <c r="D66" s="498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101</v>
      </c>
      <c r="B67" s="125">
        <v>1</v>
      </c>
      <c r="C67" s="505"/>
      <c r="D67" s="49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4" t="s">
        <v>103</v>
      </c>
      <c r="D68" s="497">
        <v>40.82</v>
      </c>
      <c r="E68" s="182">
        <v>1</v>
      </c>
      <c r="F68" s="183">
        <v>51406060</v>
      </c>
      <c r="G68" s="271">
        <f>IF(ISBLANK(F68),"-",(F68/$D$50*$D$47*$B$68)*($B$57/$D$68))</f>
        <v>151.2009609265543</v>
      </c>
      <c r="H68" s="186">
        <f t="shared" si="0"/>
        <v>1.0080064061770286</v>
      </c>
    </row>
    <row r="69" spans="1:8" ht="27" customHeight="1" x14ac:dyDescent="0.4">
      <c r="A69" s="172" t="s">
        <v>104</v>
      </c>
      <c r="B69" s="194">
        <f>(D47*B68)/B56*B57</f>
        <v>40.112853333333334</v>
      </c>
      <c r="C69" s="495"/>
      <c r="D69" s="498"/>
      <c r="E69" s="185">
        <v>2</v>
      </c>
      <c r="F69" s="137">
        <v>51576088</v>
      </c>
      <c r="G69" s="272">
        <f>IF(ISBLANK(F69),"-",(F69/$D$50*$D$47*$B$68)*($B$57/$D$68))</f>
        <v>151.70106533028451</v>
      </c>
      <c r="H69" s="186">
        <f t="shared" si="0"/>
        <v>1.01134043553523</v>
      </c>
    </row>
    <row r="70" spans="1:8" ht="26.25" customHeight="1" x14ac:dyDescent="0.4">
      <c r="A70" s="500" t="s">
        <v>77</v>
      </c>
      <c r="B70" s="501"/>
      <c r="C70" s="495"/>
      <c r="D70" s="498"/>
      <c r="E70" s="185">
        <v>3</v>
      </c>
      <c r="F70" s="137">
        <v>51075299</v>
      </c>
      <c r="G70" s="272">
        <f>IF(ISBLANK(F70),"-",(F70/$D$50*$D$47*$B$68)*($B$57/$D$68))</f>
        <v>150.22809155984874</v>
      </c>
      <c r="H70" s="186">
        <f t="shared" si="0"/>
        <v>1.0015206103989915</v>
      </c>
    </row>
    <row r="71" spans="1:8" ht="27" customHeight="1" x14ac:dyDescent="0.4">
      <c r="A71" s="502"/>
      <c r="B71" s="503"/>
      <c r="C71" s="496"/>
      <c r="D71" s="49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151.5683049295985</v>
      </c>
      <c r="H72" s="199">
        <f>AVERAGE(H60:H71)</f>
        <v>1.0104553661973232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5.0157736360466765E-3</v>
      </c>
      <c r="H73" s="274">
        <f>STDEV(H60:H71)/H72</f>
        <v>5.0157736360466791E-3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481" t="str">
        <f>B20</f>
        <v xml:space="preserve">Rifampicin </v>
      </c>
      <c r="D76" s="481"/>
      <c r="E76" s="205" t="s">
        <v>107</v>
      </c>
      <c r="F76" s="205"/>
      <c r="G76" s="206">
        <f>H72</f>
        <v>1.0104553661973232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">
        <v>125</v>
      </c>
      <c r="C79" s="504"/>
    </row>
    <row r="80" spans="1:8" ht="26.25" customHeight="1" x14ac:dyDescent="0.4">
      <c r="A80" s="109" t="s">
        <v>47</v>
      </c>
      <c r="B80" s="504" t="s">
        <v>124</v>
      </c>
      <c r="C80" s="504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48</v>
      </c>
      <c r="B82" s="111">
        <v>0</v>
      </c>
      <c r="C82" s="483" t="s">
        <v>49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6" t="s">
        <v>110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6" t="s">
        <v>111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89" t="s">
        <v>59</v>
      </c>
      <c r="G89" s="490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1">
        <f>ABS((F96/D96*D95)-F95)/D95</f>
        <v>7.87171238077106E-3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1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77" t="s">
        <v>77</v>
      </c>
      <c r="B99" s="492"/>
      <c r="C99" s="222" t="s">
        <v>115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79"/>
      <c r="B100" s="493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52953955</v>
      </c>
      <c r="E108" s="275">
        <f t="shared" ref="E108:E113" si="1">IF(ISBLANK(D108),"-",D108/$D$103*$D$100*$B$116)</f>
        <v>152.15958402372854</v>
      </c>
      <c r="F108" s="245">
        <f t="shared" ref="F108:F113" si="2">IF(ISBLANK(D108), "-", E108/$B$56)</f>
        <v>1.0143972268248569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49343413</v>
      </c>
      <c r="E109" s="276">
        <f t="shared" si="1"/>
        <v>141.78493743084991</v>
      </c>
      <c r="F109" s="246">
        <f t="shared" si="2"/>
        <v>0.94523291620566607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49296031</v>
      </c>
      <c r="E110" s="276">
        <f t="shared" si="1"/>
        <v>141.64878848012069</v>
      </c>
      <c r="F110" s="246">
        <f t="shared" si="2"/>
        <v>0.9443252565341379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52883664</v>
      </c>
      <c r="E111" s="276">
        <f t="shared" si="1"/>
        <v>151.95760762138787</v>
      </c>
      <c r="F111" s="246">
        <f t="shared" si="2"/>
        <v>1.0130507174759191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50077183</v>
      </c>
      <c r="E112" s="276">
        <f t="shared" si="1"/>
        <v>143.8933755629798</v>
      </c>
      <c r="F112" s="246">
        <f t="shared" si="2"/>
        <v>0.95928917041986528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50029046</v>
      </c>
      <c r="E113" s="277">
        <f t="shared" si="1"/>
        <v>143.75505717115902</v>
      </c>
      <c r="F113" s="249">
        <f t="shared" si="2"/>
        <v>0.95836704780772686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145.86655838170429</v>
      </c>
      <c r="F115" s="252">
        <f>AVERAGE(F108:F113)</f>
        <v>0.97244372254469524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3.3515890317729211E-2</v>
      </c>
      <c r="F116" s="254">
        <f>STDEV(F108:F113)/F115</f>
        <v>3.3515890317729204E-2</v>
      </c>
      <c r="I116" s="98"/>
    </row>
    <row r="117" spans="1:10" ht="27" customHeight="1" x14ac:dyDescent="0.4">
      <c r="A117" s="477" t="s">
        <v>77</v>
      </c>
      <c r="B117" s="478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9"/>
      <c r="B118" s="48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1" t="str">
        <f>B20</f>
        <v xml:space="preserve">Rifampicin </v>
      </c>
      <c r="D120" s="481"/>
      <c r="E120" s="205" t="s">
        <v>123</v>
      </c>
      <c r="F120" s="205"/>
      <c r="G120" s="206">
        <f>F115</f>
        <v>0.97244372254469524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2" t="s">
        <v>25</v>
      </c>
      <c r="C122" s="482"/>
      <c r="E122" s="211" t="s">
        <v>26</v>
      </c>
      <c r="F122" s="260"/>
      <c r="G122" s="482" t="s">
        <v>27</v>
      </c>
      <c r="H122" s="482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126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v>33693333.5</v>
      </c>
      <c r="C30" s="25">
        <v>7948.0483333333332</v>
      </c>
      <c r="D30" s="26">
        <v>1.0933333333333335</v>
      </c>
      <c r="E30" s="26"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25</v>
      </c>
      <c r="C59" s="466"/>
      <c r="E59" s="464" t="s">
        <v>26</v>
      </c>
      <c r="F59" s="46"/>
      <c r="G59" s="464" t="s">
        <v>27</v>
      </c>
    </row>
    <row r="60" spans="1:7" ht="15" customHeight="1" x14ac:dyDescent="0.3">
      <c r="A60" s="47" t="s">
        <v>28</v>
      </c>
      <c r="B60" s="49" t="s">
        <v>128</v>
      </c>
      <c r="C60" s="49"/>
      <c r="E60" s="49" t="s">
        <v>129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1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32</v>
      </c>
      <c r="B18" s="508" t="s">
        <v>5</v>
      </c>
      <c r="C18" s="508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3" t="s">
        <v>131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36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127</v>
      </c>
      <c r="C26" s="508"/>
    </row>
    <row r="27" spans="1:14" ht="26.25" customHeight="1" x14ac:dyDescent="0.4">
      <c r="A27" s="292" t="s">
        <v>47</v>
      </c>
      <c r="B27" s="506" t="s">
        <v>132</v>
      </c>
      <c r="C27" s="506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>
        <v>0</v>
      </c>
      <c r="C29" s="483" t="s">
        <v>49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6" t="s">
        <v>52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6" t="s">
        <v>54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89" t="s">
        <v>58</v>
      </c>
      <c r="E36" s="507"/>
      <c r="F36" s="489" t="s">
        <v>59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1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1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77" t="s">
        <v>77</v>
      </c>
      <c r="B46" s="478"/>
      <c r="C46" s="336" t="s">
        <v>78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79"/>
      <c r="B47" s="480"/>
      <c r="C47" s="345" t="s">
        <v>79</v>
      </c>
      <c r="D47" s="346"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8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Rifampicin 150mg &amp; Isoniazid 75mg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 xml:space="preserve"> Isoniazid </v>
      </c>
      <c r="H56" s="362"/>
    </row>
    <row r="57" spans="1:12" ht="18.75" x14ac:dyDescent="0.3">
      <c r="A57" s="359" t="s">
        <v>87</v>
      </c>
      <c r="B57" s="451">
        <f>Uniformity!C46</f>
        <v>376.05799999999999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4" t="s">
        <v>93</v>
      </c>
      <c r="D60" s="497">
        <v>38.94</v>
      </c>
      <c r="E60" s="365">
        <v>1</v>
      </c>
      <c r="F60" s="366">
        <v>26242358</v>
      </c>
      <c r="G60" s="452">
        <f>IF(ISBLANK(F60),"-",(F60/$D$50*$D$47*$B$68)*($B$57/$D$60))</f>
        <v>73.281162162171114</v>
      </c>
      <c r="H60" s="367">
        <f t="shared" ref="H60:H71" si="0">IF(ISBLANK(F60),"-",G60/$B$56)</f>
        <v>0.9770821621622815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5"/>
      <c r="D61" s="498"/>
      <c r="E61" s="368">
        <v>2</v>
      </c>
      <c r="F61" s="320">
        <v>26457129</v>
      </c>
      <c r="G61" s="453">
        <f>IF(ISBLANK(F61),"-",(F61/$D$50*$D$47*$B$68)*($B$57/$D$60))</f>
        <v>73.880905084614724</v>
      </c>
      <c r="H61" s="369">
        <f t="shared" si="0"/>
        <v>0.9850787344615296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5"/>
      <c r="D62" s="498"/>
      <c r="E62" s="368">
        <v>3</v>
      </c>
      <c r="F62" s="370">
        <v>26399704</v>
      </c>
      <c r="G62" s="453">
        <f>IF(ISBLANK(F62),"-",(F62/$D$50*$D$47*$B$68)*($B$57/$D$60))</f>
        <v>73.720547134419746</v>
      </c>
      <c r="H62" s="369">
        <f t="shared" si="0"/>
        <v>0.98294062845892993</v>
      </c>
      <c r="L62" s="295"/>
    </row>
    <row r="63" spans="1:12" ht="27" customHeight="1" thickBot="1" x14ac:dyDescent="0.45">
      <c r="A63" s="307" t="s">
        <v>96</v>
      </c>
      <c r="B63" s="308">
        <v>1</v>
      </c>
      <c r="C63" s="505"/>
      <c r="D63" s="499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thickBot="1" x14ac:dyDescent="0.45">
      <c r="A64" s="307" t="s">
        <v>97</v>
      </c>
      <c r="B64" s="308">
        <v>1</v>
      </c>
      <c r="C64" s="494" t="s">
        <v>98</v>
      </c>
      <c r="D64" s="497"/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thickBot="1" x14ac:dyDescent="0.45">
      <c r="A65" s="307" t="s">
        <v>99</v>
      </c>
      <c r="B65" s="308">
        <v>1</v>
      </c>
      <c r="C65" s="495"/>
      <c r="D65" s="498"/>
      <c r="E65" s="368">
        <v>2</v>
      </c>
      <c r="F65" s="366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100</v>
      </c>
      <c r="B66" s="308">
        <v>1</v>
      </c>
      <c r="C66" s="495"/>
      <c r="D66" s="498"/>
      <c r="E66" s="368">
        <v>3</v>
      </c>
      <c r="F66" s="366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thickBot="1" x14ac:dyDescent="0.45">
      <c r="A67" s="307" t="s">
        <v>101</v>
      </c>
      <c r="B67" s="308">
        <v>1</v>
      </c>
      <c r="C67" s="505"/>
      <c r="D67" s="499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thickBot="1" x14ac:dyDescent="0.45">
      <c r="A68" s="307" t="s">
        <v>102</v>
      </c>
      <c r="B68" s="376">
        <f>(B67/B66)*(B65/B64)*(B63/B62)*(B61/B60)*B59</f>
        <v>100</v>
      </c>
      <c r="C68" s="494" t="s">
        <v>103</v>
      </c>
      <c r="D68" s="497">
        <v>40.82</v>
      </c>
      <c r="E68" s="365">
        <v>1</v>
      </c>
      <c r="F68" s="366">
        <v>27526854</v>
      </c>
      <c r="G68" s="454">
        <f>IF(ISBLANK(F68),"-",(F68/$D$50*$D$47*$B$68)*($B$57/$D$68))</f>
        <v>73.327861313483282</v>
      </c>
      <c r="H68" s="369">
        <f t="shared" si="0"/>
        <v>0.97770481751311045</v>
      </c>
    </row>
    <row r="69" spans="1:8" ht="27" customHeight="1" thickBot="1" x14ac:dyDescent="0.45">
      <c r="A69" s="355" t="s">
        <v>104</v>
      </c>
      <c r="B69" s="377">
        <f>(D47*B68)/B56*B57</f>
        <v>40.112853333333334</v>
      </c>
      <c r="C69" s="495"/>
      <c r="D69" s="498"/>
      <c r="E69" s="368">
        <v>2</v>
      </c>
      <c r="F69" s="366">
        <v>27711126</v>
      </c>
      <c r="G69" s="455">
        <f>IF(ISBLANK(F69),"-",(F69/$D$50*$D$47*$B$68)*($B$57/$D$68))</f>
        <v>73.818737301707657</v>
      </c>
      <c r="H69" s="369">
        <f t="shared" si="0"/>
        <v>0.98424983068943539</v>
      </c>
    </row>
    <row r="70" spans="1:8" ht="26.25" customHeight="1" thickBot="1" x14ac:dyDescent="0.45">
      <c r="A70" s="500" t="s">
        <v>77</v>
      </c>
      <c r="B70" s="501"/>
      <c r="C70" s="495"/>
      <c r="D70" s="498"/>
      <c r="E70" s="368">
        <v>3</v>
      </c>
      <c r="F70" s="366">
        <v>27575250</v>
      </c>
      <c r="G70" s="455">
        <f>IF(ISBLANK(F70),"-",(F70/$D$50*$D$47*$B$68)*($B$57/$D$68))</f>
        <v>73.456781791505492</v>
      </c>
      <c r="H70" s="369">
        <f t="shared" si="0"/>
        <v>0.97942375722007324</v>
      </c>
    </row>
    <row r="71" spans="1:8" ht="27" customHeight="1" thickBot="1" x14ac:dyDescent="0.45">
      <c r="A71" s="502"/>
      <c r="B71" s="503"/>
      <c r="C71" s="496"/>
      <c r="D71" s="499"/>
      <c r="E71" s="371">
        <v>4</v>
      </c>
      <c r="F71" s="366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73.580999131317</v>
      </c>
      <c r="H72" s="382">
        <f>AVERAGE(H60:H71)</f>
        <v>0.98107998841756006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3.5196291152080972E-3</v>
      </c>
      <c r="H73" s="457">
        <f>STDEV(H60:H71)/H72</f>
        <v>3.5196291152080764E-3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105</v>
      </c>
      <c r="B76" s="387" t="s">
        <v>106</v>
      </c>
      <c r="C76" s="481" t="str">
        <f>B20</f>
        <v xml:space="preserve"> Isoniazid </v>
      </c>
      <c r="D76" s="481"/>
      <c r="E76" s="388" t="s">
        <v>107</v>
      </c>
      <c r="F76" s="388"/>
      <c r="G76" s="389">
        <f>H72</f>
        <v>0.98107998841756006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Isoniazid</v>
      </c>
      <c r="C79" s="504"/>
    </row>
    <row r="80" spans="1:8" ht="26.25" customHeight="1" x14ac:dyDescent="0.4">
      <c r="A80" s="292" t="s">
        <v>47</v>
      </c>
      <c r="B80" s="504" t="str">
        <f>B27</f>
        <v>I8-2</v>
      </c>
      <c r="C80" s="504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3" t="s">
        <v>49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6" t="s">
        <v>110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6" t="s">
        <v>111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89" t="s">
        <v>59</v>
      </c>
      <c r="G89" s="490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1">
        <f>ABS((F96/D96*D95)-F95)/D95</f>
        <v>3.3791889042000286E-3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1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77" t="s">
        <v>77</v>
      </c>
      <c r="B99" s="492"/>
      <c r="C99" s="405" t="s">
        <v>115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79"/>
      <c r="B100" s="493"/>
      <c r="C100" s="405" t="s">
        <v>79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26820974</v>
      </c>
      <c r="E108" s="458">
        <f t="shared" ref="E108:E113" si="1">IF(ISBLANK(D108),"-",D108/$D$103*$D$100*$B$116)</f>
        <v>69.79875273203605</v>
      </c>
      <c r="F108" s="428">
        <f t="shared" ref="F108:F113" si="2">IF(ISBLANK(D108), "-", E108/$B$56)</f>
        <v>0.93065003642714739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25587329</v>
      </c>
      <c r="E109" s="459">
        <f t="shared" si="1"/>
        <v>66.588321883621958</v>
      </c>
      <c r="F109" s="429">
        <f t="shared" si="2"/>
        <v>0.88784429178162616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25553941</v>
      </c>
      <c r="E110" s="459">
        <f t="shared" si="1"/>
        <v>66.501433139155878</v>
      </c>
      <c r="F110" s="429">
        <f t="shared" si="2"/>
        <v>0.88668577518874503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26759238</v>
      </c>
      <c r="E111" s="459">
        <f t="shared" si="1"/>
        <v>69.638091310915968</v>
      </c>
      <c r="F111" s="429">
        <f t="shared" si="2"/>
        <v>0.92850788414554619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25411322</v>
      </c>
      <c r="E112" s="459">
        <f t="shared" si="1"/>
        <v>66.130282251201919</v>
      </c>
      <c r="F112" s="429">
        <f t="shared" si="2"/>
        <v>0.88173709668269229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25277175</v>
      </c>
      <c r="E113" s="460">
        <f t="shared" si="1"/>
        <v>65.781178848665363</v>
      </c>
      <c r="F113" s="432">
        <f t="shared" si="2"/>
        <v>0.87708238464887145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67.406343360932851</v>
      </c>
      <c r="F115" s="435">
        <f>AVERAGE(F108:F113)</f>
        <v>0.89875124481243818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2.6918654549378893E-2</v>
      </c>
      <c r="F116" s="437">
        <f>STDEV(F108:F113)/F115</f>
        <v>2.6918654549378893E-2</v>
      </c>
      <c r="I116" s="281"/>
    </row>
    <row r="117" spans="1:10" ht="27" customHeight="1" x14ac:dyDescent="0.4">
      <c r="A117" s="477" t="s">
        <v>77</v>
      </c>
      <c r="B117" s="478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9"/>
      <c r="B118" s="480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1" t="str">
        <f>B20</f>
        <v xml:space="preserve"> Isoniazid </v>
      </c>
      <c r="D120" s="481"/>
      <c r="E120" s="388" t="s">
        <v>123</v>
      </c>
      <c r="F120" s="388"/>
      <c r="G120" s="389">
        <f>F115</f>
        <v>0.89875124481243818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2" t="s">
        <v>25</v>
      </c>
      <c r="C122" s="482"/>
      <c r="E122" s="394" t="s">
        <v>26</v>
      </c>
      <c r="F122" s="443"/>
      <c r="G122" s="482" t="s">
        <v>27</v>
      </c>
      <c r="H122" s="482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2016-06-13T16:18:35Z</cp:lastPrinted>
  <dcterms:created xsi:type="dcterms:W3CDTF">2005-07-05T10:19:27Z</dcterms:created>
  <dcterms:modified xsi:type="dcterms:W3CDTF">2016-06-13T16:23:23Z</dcterms:modified>
</cp:coreProperties>
</file>