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SST Rifampicin" sheetId="1" r:id="rId1"/>
    <sheet name="Uniformity" sheetId="2" r:id="rId2"/>
    <sheet name="Rifampicin" sheetId="3" r:id="rId3"/>
    <sheet name="SST Isoniazid" sheetId="5" r:id="rId4"/>
    <sheet name="Isoniazid" sheetId="4" r:id="rId5"/>
  </sheets>
  <definedNames>
    <definedName name="_xlnm.Print_Area" localSheetId="4">Isoniazid!$A$1:$I$124</definedName>
    <definedName name="_xlnm.Print_Area" localSheetId="2">Rifampicin!$A$1:$I$124</definedName>
    <definedName name="_xlnm.Print_Area" localSheetId="3">'SST Isoniazid'!$A$15:$G$61</definedName>
    <definedName name="_xlnm.Print_Area" localSheetId="0">'SST Rifampicin'!$A$15:$G$61</definedName>
    <definedName name="_xlnm.Print_Area" localSheetId="1">Uniformity!$A$12:$F$54</definedName>
  </definedNames>
  <calcPr calcId="144525"/>
</workbook>
</file>

<file path=xl/calcChain.xml><?xml version="1.0" encoding="utf-8"?>
<calcChain xmlns="http://schemas.openxmlformats.org/spreadsheetml/2006/main">
  <c r="B42" i="1" l="1"/>
  <c r="B42" i="5"/>
  <c r="B53" i="5" l="1"/>
  <c r="E51" i="5"/>
  <c r="D51" i="5"/>
  <c r="C51" i="5"/>
  <c r="B51" i="5"/>
  <c r="B52" i="5" s="1"/>
  <c r="B32" i="5"/>
  <c r="B31" i="5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 s="1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C19" i="2"/>
  <c r="B53" i="1"/>
  <c r="E51" i="1"/>
  <c r="D51" i="1"/>
  <c r="C51" i="1"/>
  <c r="B51" i="1"/>
  <c r="B52" i="1" s="1"/>
  <c r="B32" i="1"/>
  <c r="B31" i="1"/>
  <c r="I92" i="3" l="1"/>
  <c r="D101" i="3"/>
  <c r="D102" i="3" s="1"/>
  <c r="D97" i="3"/>
  <c r="D98" i="3" s="1"/>
  <c r="D101" i="4"/>
  <c r="D102" i="4" s="1"/>
  <c r="I92" i="4"/>
  <c r="D49" i="4"/>
  <c r="D45" i="4"/>
  <c r="E41" i="4" s="1"/>
  <c r="F98" i="4"/>
  <c r="F99" i="4" s="1"/>
  <c r="I39" i="3"/>
  <c r="D49" i="3"/>
  <c r="D45" i="3"/>
  <c r="E38" i="3" s="1"/>
  <c r="F98" i="3"/>
  <c r="D29" i="2"/>
  <c r="D37" i="2"/>
  <c r="D27" i="2"/>
  <c r="D31" i="2"/>
  <c r="D35" i="2"/>
  <c r="D39" i="2"/>
  <c r="D43" i="2"/>
  <c r="C49" i="2"/>
  <c r="F44" i="3"/>
  <c r="F45" i="3" s="1"/>
  <c r="G39" i="3" s="1"/>
  <c r="F44" i="4"/>
  <c r="F45" i="4" s="1"/>
  <c r="G40" i="4" s="1"/>
  <c r="D24" i="2"/>
  <c r="D28" i="2"/>
  <c r="D32" i="2"/>
  <c r="D36" i="2"/>
  <c r="D40" i="2"/>
  <c r="D49" i="2"/>
  <c r="E41" i="3"/>
  <c r="B69" i="3"/>
  <c r="G39" i="4"/>
  <c r="B57" i="4"/>
  <c r="B69" i="4" s="1"/>
  <c r="D97" i="4"/>
  <c r="D98" i="4" s="1"/>
  <c r="D99" i="4" s="1"/>
  <c r="D25" i="2"/>
  <c r="D33" i="2"/>
  <c r="D41" i="2"/>
  <c r="C50" i="2"/>
  <c r="D26" i="2"/>
  <c r="D30" i="2"/>
  <c r="D34" i="2"/>
  <c r="D38" i="2"/>
  <c r="D42" i="2"/>
  <c r="B49" i="2"/>
  <c r="E94" i="3" l="1"/>
  <c r="G94" i="4"/>
  <c r="G93" i="4"/>
  <c r="G92" i="4"/>
  <c r="G91" i="4"/>
  <c r="E40" i="4"/>
  <c r="D46" i="4"/>
  <c r="E39" i="4"/>
  <c r="E92" i="4"/>
  <c r="E38" i="4"/>
  <c r="G38" i="4"/>
  <c r="E91" i="4"/>
  <c r="G40" i="3"/>
  <c r="G38" i="3"/>
  <c r="E39" i="3"/>
  <c r="E40" i="3"/>
  <c r="E91" i="3"/>
  <c r="D46" i="3"/>
  <c r="F99" i="3"/>
  <c r="G91" i="3"/>
  <c r="G94" i="3"/>
  <c r="G41" i="3"/>
  <c r="F46" i="3"/>
  <c r="E94" i="4"/>
  <c r="E93" i="4"/>
  <c r="G93" i="3"/>
  <c r="D99" i="3"/>
  <c r="E93" i="3"/>
  <c r="E92" i="3"/>
  <c r="F46" i="4"/>
  <c r="G41" i="4"/>
  <c r="G92" i="3"/>
  <c r="G42" i="4" l="1"/>
  <c r="E95" i="3"/>
  <c r="E95" i="4"/>
  <c r="D103" i="4"/>
  <c r="E112" i="4" s="1"/>
  <c r="F112" i="4" s="1"/>
  <c r="G95" i="4"/>
  <c r="D50" i="4"/>
  <c r="G66" i="4" s="1"/>
  <c r="H66" i="4" s="1"/>
  <c r="D105" i="4"/>
  <c r="E42" i="4"/>
  <c r="D52" i="4"/>
  <c r="G42" i="3"/>
  <c r="D50" i="3"/>
  <c r="G68" i="3" s="1"/>
  <c r="H68" i="3" s="1"/>
  <c r="G95" i="3"/>
  <c r="D52" i="3"/>
  <c r="D103" i="3"/>
  <c r="E108" i="3" s="1"/>
  <c r="E42" i="3"/>
  <c r="D105" i="3"/>
  <c r="D104" i="4" l="1"/>
  <c r="E113" i="3"/>
  <c r="F113" i="3" s="1"/>
  <c r="E112" i="3"/>
  <c r="F112" i="3" s="1"/>
  <c r="E109" i="3"/>
  <c r="F109" i="3" s="1"/>
  <c r="E110" i="3"/>
  <c r="F110" i="3" s="1"/>
  <c r="E111" i="3"/>
  <c r="F111" i="3" s="1"/>
  <c r="E108" i="4"/>
  <c r="F108" i="4" s="1"/>
  <c r="E110" i="4"/>
  <c r="F110" i="4" s="1"/>
  <c r="E113" i="4"/>
  <c r="F113" i="4" s="1"/>
  <c r="E109" i="4"/>
  <c r="F109" i="4" s="1"/>
  <c r="E111" i="4"/>
  <c r="F111" i="4" s="1"/>
  <c r="G65" i="4"/>
  <c r="H65" i="4" s="1"/>
  <c r="G69" i="4"/>
  <c r="H69" i="4" s="1"/>
  <c r="G60" i="4"/>
  <c r="H60" i="4" s="1"/>
  <c r="G67" i="4"/>
  <c r="H67" i="4" s="1"/>
  <c r="G71" i="4"/>
  <c r="H71" i="4" s="1"/>
  <c r="G62" i="4"/>
  <c r="H62" i="4" s="1"/>
  <c r="G61" i="4"/>
  <c r="H61" i="4" s="1"/>
  <c r="G70" i="4"/>
  <c r="H70" i="4" s="1"/>
  <c r="G64" i="4"/>
  <c r="H64" i="4" s="1"/>
  <c r="G68" i="4"/>
  <c r="H68" i="4" s="1"/>
  <c r="G63" i="4"/>
  <c r="H63" i="4" s="1"/>
  <c r="D51" i="4"/>
  <c r="G65" i="3"/>
  <c r="H65" i="3" s="1"/>
  <c r="G60" i="3"/>
  <c r="H60" i="3" s="1"/>
  <c r="G64" i="3"/>
  <c r="H64" i="3" s="1"/>
  <c r="G67" i="3"/>
  <c r="H67" i="3" s="1"/>
  <c r="G66" i="3"/>
  <c r="H66" i="3" s="1"/>
  <c r="G69" i="3"/>
  <c r="H69" i="3" s="1"/>
  <c r="G70" i="3"/>
  <c r="H70" i="3" s="1"/>
  <c r="G61" i="3"/>
  <c r="H61" i="3" s="1"/>
  <c r="D51" i="3"/>
  <c r="G62" i="3"/>
  <c r="H62" i="3" s="1"/>
  <c r="G63" i="3"/>
  <c r="H63" i="3" s="1"/>
  <c r="G71" i="3"/>
  <c r="H71" i="3" s="1"/>
  <c r="D104" i="3"/>
  <c r="F108" i="3"/>
  <c r="E117" i="3" l="1"/>
  <c r="E115" i="3"/>
  <c r="E116" i="3" s="1"/>
  <c r="E117" i="4"/>
  <c r="E115" i="4"/>
  <c r="E116" i="4" s="1"/>
  <c r="G72" i="4"/>
  <c r="G73" i="4" s="1"/>
  <c r="G74" i="4"/>
  <c r="G74" i="3"/>
  <c r="G72" i="3"/>
  <c r="G73" i="3" s="1"/>
  <c r="H74" i="4"/>
  <c r="H72" i="4"/>
  <c r="F117" i="3"/>
  <c r="F115" i="3"/>
  <c r="H74" i="3"/>
  <c r="H72" i="3"/>
  <c r="F117" i="4"/>
  <c r="F115" i="4"/>
  <c r="G120" i="4" l="1"/>
  <c r="F116" i="4"/>
  <c r="G120" i="3"/>
  <c r="F116" i="3"/>
  <c r="G76" i="3"/>
  <c r="H73" i="3"/>
  <c r="G76" i="4"/>
  <c r="H73" i="4"/>
</calcChain>
</file>

<file path=xl/sharedStrings.xml><?xml version="1.0" encoding="utf-8"?>
<sst xmlns="http://schemas.openxmlformats.org/spreadsheetml/2006/main" count="442" uniqueCount="132">
  <si>
    <t>HPLC System Suitability Report</t>
  </si>
  <si>
    <t>Analysis Data</t>
  </si>
  <si>
    <t>Assay</t>
  </si>
  <si>
    <t>Sample(s)</t>
  </si>
  <si>
    <t>Reference Substance:</t>
  </si>
  <si>
    <t>RIFAMPICIN 150MG, ISONIAZID 75MG TABLETS</t>
  </si>
  <si>
    <t>% age Purity:</t>
  </si>
  <si>
    <t>NDQD2016061098</t>
  </si>
  <si>
    <t>Weight (mg):</t>
  </si>
  <si>
    <t>Rifampicin, Isoniazid</t>
  </si>
  <si>
    <t>Standard Conc (mg/mL):</t>
  </si>
  <si>
    <t>Each Tablet contains: Rifampicin 150mg, Isoniazid 75mg</t>
  </si>
  <si>
    <t>2016-06-09 15:41:24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</si>
  <si>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</si>
  <si>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</si>
  <si>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</si>
  <si>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</si>
  <si>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</si>
  <si>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</si>
  <si>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</si>
  <si>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</si>
  <si>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</si>
  <si>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</si>
  <si>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</si>
  <si>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</si>
  <si>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</si>
  <si>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</si>
  <si>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</si>
  <si>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</si>
  <si>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</si>
  <si>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</si>
  <si>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</si>
  <si>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</si>
  <si>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</si>
  <si>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</si>
  <si>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</si>
  <si>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</si>
  <si>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</si>
  <si>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</si>
  <si>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</si>
  <si>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</si>
  <si>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</si>
  <si>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</si>
  <si>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</si>
  <si>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</si>
  <si>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</si>
  <si>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</si>
  <si>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</si>
  <si>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</si>
  <si>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</si>
  <si>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</si>
  <si>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</si>
  <si>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</si>
  <si>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</si>
  <si>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</si>
  <si>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</si>
  <si>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</si>
  <si>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</si>
  <si>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</si>
  <si>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</si>
  <si>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</si>
  <si>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</si>
  <si>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</si>
  <si>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</si>
  <si>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</si>
  <si>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</si>
  <si>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</si>
  <si>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</si>
  <si>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</si>
  <si>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</si>
  <si>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</si>
  <si>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</si>
  <si>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</si>
  <si>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</si>
  <si>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</si>
  <si>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</si>
  <si>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</si>
  <si>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</si>
  <si>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</si>
  <si>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</si>
  <si>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</si>
  <si>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</si>
  <si>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</si>
  <si>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</si>
  <si>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</si>
  <si>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</si>
  <si>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</si>
  <si>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</si>
  <si>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</si>
  <si>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</si>
  <si>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</si>
  <si>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</si>
  <si>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</si>
  <si>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</si>
  <si>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</si>
  <si>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</si>
  <si>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</si>
  <si>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</si>
  <si>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</si>
  <si>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</si>
  <si>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</si>
  <si>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</si>
  <si>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</si>
  <si>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</si>
  <si>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</si>
  <si>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</si>
  <si>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</si>
  <si>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</si>
  <si>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</si>
  <si>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</si>
  <si>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</si>
  <si>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</si>
  <si>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</si>
  <si>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</si>
  <si>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</si>
  <si>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</si>
  <si>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</si>
  <si>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</si>
  <si>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</si>
  <si>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</si>
  <si>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</si>
  <si>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</si>
  <si>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</si>
  <si>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</si>
  <si>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</si>
  <si>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 and Isoniazid Tablets</t>
  </si>
  <si>
    <t>Isoniazid</t>
  </si>
  <si>
    <t>RUTTO/JOYFRIDA</t>
  </si>
  <si>
    <t>Rifampicin</t>
  </si>
  <si>
    <t>I8-2</t>
  </si>
  <si>
    <t>R5-1</t>
  </si>
  <si>
    <t>17/06/2016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</si>
</sst>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D21" sqref="D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125</v>
      </c>
      <c r="D17" s="9"/>
      <c r="E17" s="10"/>
    </row>
    <row r="18" spans="1:6" ht="16.5" customHeight="1" x14ac:dyDescent="0.3">
      <c r="A18" s="11" t="s">
        <v>4</v>
      </c>
      <c r="B18" s="8" t="s">
        <v>128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</v>
      </c>
      <c r="C19" s="10"/>
      <c r="D19" s="10"/>
      <c r="E19" s="10"/>
    </row>
    <row r="20" spans="1:6" ht="16.5" customHeight="1" x14ac:dyDescent="0.3">
      <c r="A20" s="7" t="s">
        <v>8</v>
      </c>
      <c r="B20" s="12">
        <v>17.760000000000002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0.17760000000000001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55614940</v>
      </c>
      <c r="C24" s="18">
        <v>47038.55</v>
      </c>
      <c r="D24" s="19">
        <v>1.1599999999999999</v>
      </c>
      <c r="E24" s="20">
        <v>8.44</v>
      </c>
    </row>
    <row r="25" spans="1:6" ht="16.5" customHeight="1" x14ac:dyDescent="0.3">
      <c r="A25" s="17">
        <v>2</v>
      </c>
      <c r="B25" s="18">
        <v>55569776</v>
      </c>
      <c r="C25" s="18">
        <v>46456.2</v>
      </c>
      <c r="D25" s="19">
        <v>1.1499999999999999</v>
      </c>
      <c r="E25" s="19">
        <v>8.43</v>
      </c>
    </row>
    <row r="26" spans="1:6" ht="16.5" customHeight="1" x14ac:dyDescent="0.3">
      <c r="A26" s="17">
        <v>3</v>
      </c>
      <c r="B26" s="18">
        <v>55651146</v>
      </c>
      <c r="C26" s="18">
        <v>45939.519999999997</v>
      </c>
      <c r="D26" s="19">
        <v>1.1599999999999999</v>
      </c>
      <c r="E26" s="19">
        <v>8.44</v>
      </c>
    </row>
    <row r="27" spans="1:6" ht="16.5" customHeight="1" x14ac:dyDescent="0.3">
      <c r="A27" s="17">
        <v>4</v>
      </c>
      <c r="B27" s="18">
        <v>55563145</v>
      </c>
      <c r="C27" s="18">
        <v>45537.3</v>
      </c>
      <c r="D27" s="19">
        <v>1.1499999999999999</v>
      </c>
      <c r="E27" s="19">
        <v>8.43</v>
      </c>
    </row>
    <row r="28" spans="1:6" ht="16.5" customHeight="1" x14ac:dyDescent="0.3">
      <c r="A28" s="17">
        <v>5</v>
      </c>
      <c r="B28" s="18">
        <v>55402899</v>
      </c>
      <c r="C28" s="18">
        <v>45640.37</v>
      </c>
      <c r="D28" s="19">
        <v>1.1299999999999999</v>
      </c>
      <c r="E28" s="19">
        <v>8.43</v>
      </c>
    </row>
    <row r="29" spans="1:6" ht="16.5" customHeight="1" x14ac:dyDescent="0.3">
      <c r="A29" s="17">
        <v>6</v>
      </c>
      <c r="B29" s="21">
        <v>55374159</v>
      </c>
      <c r="C29" s="21">
        <v>45461.47</v>
      </c>
      <c r="D29" s="22">
        <v>1.1299999999999999</v>
      </c>
      <c r="E29" s="22">
        <v>8.43</v>
      </c>
    </row>
    <row r="30" spans="1:6" ht="16.5" customHeight="1" x14ac:dyDescent="0.3">
      <c r="A30" s="23" t="s">
        <v>18</v>
      </c>
      <c r="B30" s="24">
        <v>55529344.166666664</v>
      </c>
      <c r="C30" s="25">
        <v>46012.235000000008</v>
      </c>
      <c r="D30" s="26">
        <v>1.1466666666666665</v>
      </c>
      <c r="E30" s="26">
        <v>8.4333333333333318</v>
      </c>
    </row>
    <row r="31" spans="1:6" ht="16.5" customHeight="1" x14ac:dyDescent="0.3">
      <c r="A31" s="27" t="s">
        <v>19</v>
      </c>
      <c r="B31" s="28">
        <f>(STDEV(B24:B29)/B30)</f>
        <v>2.0534484379514679E-3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128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99.6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15.13</v>
      </c>
      <c r="C41" s="10"/>
      <c r="D41" s="10"/>
      <c r="E41" s="10"/>
    </row>
    <row r="42" spans="1:6" ht="16.5" customHeight="1" x14ac:dyDescent="0.3">
      <c r="A42" s="7" t="s">
        <v>10</v>
      </c>
      <c r="B42" s="13">
        <f>15.13/100</f>
        <v>0.15130000000000002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47114377</v>
      </c>
      <c r="C45" s="18">
        <v>73369.66</v>
      </c>
      <c r="D45" s="19">
        <v>0.99</v>
      </c>
      <c r="E45" s="20">
        <v>7.42</v>
      </c>
    </row>
    <row r="46" spans="1:6" ht="16.5" customHeight="1" x14ac:dyDescent="0.3">
      <c r="A46" s="17">
        <v>2</v>
      </c>
      <c r="B46" s="18">
        <v>47107014</v>
      </c>
      <c r="C46" s="18">
        <v>73824</v>
      </c>
      <c r="D46" s="19">
        <v>0.99</v>
      </c>
      <c r="E46" s="19">
        <v>7.42</v>
      </c>
    </row>
    <row r="47" spans="1:6" ht="16.5" customHeight="1" x14ac:dyDescent="0.3">
      <c r="A47" s="17">
        <v>3</v>
      </c>
      <c r="B47" s="18">
        <v>47140956</v>
      </c>
      <c r="C47" s="18">
        <v>73547.06</v>
      </c>
      <c r="D47" s="19">
        <v>1.01</v>
      </c>
      <c r="E47" s="19">
        <v>7.42</v>
      </c>
    </row>
    <row r="48" spans="1:6" ht="16.5" customHeight="1" x14ac:dyDescent="0.3">
      <c r="A48" s="17">
        <v>4</v>
      </c>
      <c r="B48" s="18">
        <v>47060782</v>
      </c>
      <c r="C48" s="18">
        <v>73867.710000000006</v>
      </c>
      <c r="D48" s="19">
        <v>1.03</v>
      </c>
      <c r="E48" s="19">
        <v>7.42</v>
      </c>
    </row>
    <row r="49" spans="1:7" ht="16.5" customHeight="1" x14ac:dyDescent="0.3">
      <c r="A49" s="17">
        <v>5</v>
      </c>
      <c r="B49" s="18">
        <v>47067596</v>
      </c>
      <c r="C49" s="18">
        <v>73690.820000000007</v>
      </c>
      <c r="D49" s="19">
        <v>1</v>
      </c>
      <c r="E49" s="19">
        <v>7.42</v>
      </c>
    </row>
    <row r="50" spans="1:7" ht="16.5" customHeight="1" x14ac:dyDescent="0.3">
      <c r="A50" s="17">
        <v>6</v>
      </c>
      <c r="B50" s="21">
        <v>47266188</v>
      </c>
      <c r="C50" s="21">
        <v>74012.02</v>
      </c>
      <c r="D50" s="22">
        <v>1.05</v>
      </c>
      <c r="E50" s="22">
        <v>7.42</v>
      </c>
    </row>
    <row r="51" spans="1:7" ht="16.5" customHeight="1" x14ac:dyDescent="0.3">
      <c r="A51" s="23" t="s">
        <v>18</v>
      </c>
      <c r="B51" s="24">
        <f>AVERAGE(B45:B50)</f>
        <v>47126152.166666664</v>
      </c>
      <c r="C51" s="25">
        <f>AVERAGE(C45:C50)</f>
        <v>73718.544999999998</v>
      </c>
      <c r="D51" s="26">
        <f>AVERAGE(D45:D50)</f>
        <v>1.0116666666666667</v>
      </c>
      <c r="E51" s="26">
        <f>AVERAGE(E45:E50)</f>
        <v>7.4200000000000008</v>
      </c>
    </row>
    <row r="52" spans="1:7" ht="16.5" customHeight="1" x14ac:dyDescent="0.3">
      <c r="A52" s="27" t="s">
        <v>19</v>
      </c>
      <c r="B52" s="28">
        <f>(STDEV(B45:B50)/B51)</f>
        <v>1.5889585046052238E-3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6" t="s">
        <v>26</v>
      </c>
      <c r="C59" s="46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127</v>
      </c>
      <c r="C60" s="48"/>
      <c r="E60" s="48" t="s">
        <v>131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13" workbookViewId="0">
      <selection activeCell="E28" sqref="E2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0" t="s">
        <v>31</v>
      </c>
      <c r="B11" s="471"/>
      <c r="C11" s="471"/>
      <c r="D11" s="471"/>
      <c r="E11" s="471"/>
      <c r="F11" s="472"/>
      <c r="G11" s="91"/>
    </row>
    <row r="12" spans="1:7" ht="16.5" customHeight="1" x14ac:dyDescent="0.3">
      <c r="A12" s="469" t="s">
        <v>32</v>
      </c>
      <c r="B12" s="469"/>
      <c r="C12" s="469"/>
      <c r="D12" s="469"/>
      <c r="E12" s="469"/>
      <c r="F12" s="469"/>
      <c r="G12" s="90"/>
    </row>
    <row r="14" spans="1:7" ht="16.5" customHeight="1" x14ac:dyDescent="0.3">
      <c r="A14" s="474" t="s">
        <v>33</v>
      </c>
      <c r="B14" s="474"/>
      <c r="C14" s="60" t="s">
        <v>5</v>
      </c>
    </row>
    <row r="15" spans="1:7" ht="16.5" customHeight="1" x14ac:dyDescent="0.3">
      <c r="A15" s="474" t="s">
        <v>34</v>
      </c>
      <c r="B15" s="474"/>
      <c r="C15" s="60" t="s">
        <v>7</v>
      </c>
    </row>
    <row r="16" spans="1:7" ht="16.5" customHeight="1" x14ac:dyDescent="0.3">
      <c r="A16" s="474" t="s">
        <v>35</v>
      </c>
      <c r="B16" s="474"/>
      <c r="C16" s="60" t="s">
        <v>9</v>
      </c>
    </row>
    <row r="17" spans="1:5" ht="16.5" customHeight="1" x14ac:dyDescent="0.3">
      <c r="A17" s="474" t="s">
        <v>36</v>
      </c>
      <c r="B17" s="474"/>
      <c r="C17" s="60" t="s">
        <v>11</v>
      </c>
    </row>
    <row r="18" spans="1:5" ht="16.5" customHeight="1" x14ac:dyDescent="0.3">
      <c r="A18" s="474" t="s">
        <v>37</v>
      </c>
      <c r="B18" s="474"/>
      <c r="C18" s="97" t="s">
        <v>12</v>
      </c>
    </row>
    <row r="19" spans="1:5" ht="16.5" customHeight="1" x14ac:dyDescent="0.3">
      <c r="A19" s="474" t="s">
        <v>38</v>
      </c>
      <c r="B19" s="47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9" t="s">
        <v>1</v>
      </c>
      <c r="B21" s="469"/>
      <c r="C21" s="59" t="s">
        <v>39</v>
      </c>
      <c r="D21" s="66"/>
    </row>
    <row r="22" spans="1:5" ht="15.75" customHeight="1" x14ac:dyDescent="0.3">
      <c r="A22" s="473"/>
      <c r="B22" s="473"/>
      <c r="C22" s="57"/>
      <c r="D22" s="473"/>
      <c r="E22" s="47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370.98</v>
      </c>
      <c r="D24" s="87">
        <f t="shared" ref="D24:D43" si="0">(C24-$C$46)/$C$46</f>
        <v>-5.6941151875681256E-3</v>
      </c>
      <c r="E24" s="53"/>
    </row>
    <row r="25" spans="1:5" ht="15.75" customHeight="1" x14ac:dyDescent="0.3">
      <c r="C25" s="95">
        <v>374.3</v>
      </c>
      <c r="D25" s="88">
        <f t="shared" si="0"/>
        <v>3.2041961434396563E-3</v>
      </c>
      <c r="E25" s="53"/>
    </row>
    <row r="26" spans="1:5" ht="15.75" customHeight="1" x14ac:dyDescent="0.3">
      <c r="C26" s="95">
        <v>367.28</v>
      </c>
      <c r="D26" s="88">
        <f t="shared" si="0"/>
        <v>-1.5610907935980554E-2</v>
      </c>
      <c r="E26" s="53"/>
    </row>
    <row r="27" spans="1:5" ht="15.75" customHeight="1" x14ac:dyDescent="0.3">
      <c r="C27" s="95">
        <v>373.35</v>
      </c>
      <c r="D27" s="88">
        <f t="shared" si="0"/>
        <v>6.5799259992841872E-4</v>
      </c>
      <c r="E27" s="53"/>
    </row>
    <row r="28" spans="1:5" ht="15.75" customHeight="1" x14ac:dyDescent="0.3">
      <c r="C28" s="95">
        <v>371.59</v>
      </c>
      <c r="D28" s="88">
        <f t="shared" si="0"/>
        <v>-4.0591844912083747E-3</v>
      </c>
      <c r="E28" s="53"/>
    </row>
    <row r="29" spans="1:5" ht="15.75" customHeight="1" x14ac:dyDescent="0.3">
      <c r="C29" s="95">
        <v>377.02</v>
      </c>
      <c r="D29" s="88">
        <f t="shared" si="0"/>
        <v>1.0494378920650787E-2</v>
      </c>
      <c r="E29" s="53"/>
    </row>
    <row r="30" spans="1:5" ht="15.75" customHeight="1" x14ac:dyDescent="0.3">
      <c r="C30" s="95">
        <v>371.33</v>
      </c>
      <c r="D30" s="88">
        <f t="shared" si="0"/>
        <v>-4.7560401978535395E-3</v>
      </c>
      <c r="E30" s="53"/>
    </row>
    <row r="31" spans="1:5" ht="15.75" customHeight="1" x14ac:dyDescent="0.3">
      <c r="C31" s="95">
        <v>369.17</v>
      </c>
      <c r="D31" s="88">
        <f t="shared" si="0"/>
        <v>-1.0545302991521179E-2</v>
      </c>
      <c r="E31" s="53"/>
    </row>
    <row r="32" spans="1:5" ht="15.75" customHeight="1" x14ac:dyDescent="0.3">
      <c r="C32" s="95">
        <v>370.11</v>
      </c>
      <c r="D32" s="88">
        <f t="shared" si="0"/>
        <v>-8.025901590573193E-3</v>
      </c>
      <c r="E32" s="53"/>
    </row>
    <row r="33" spans="1:7" ht="15.75" customHeight="1" x14ac:dyDescent="0.3">
      <c r="C33" s="95">
        <v>372.03</v>
      </c>
      <c r="D33" s="88">
        <f t="shared" si="0"/>
        <v>-2.879890218424214E-3</v>
      </c>
      <c r="E33" s="53"/>
    </row>
    <row r="34" spans="1:7" ht="15.75" customHeight="1" x14ac:dyDescent="0.3">
      <c r="C34" s="95">
        <v>373.67</v>
      </c>
      <c r="D34" s="88">
        <f t="shared" si="0"/>
        <v>1.5156611619532487E-3</v>
      </c>
      <c r="E34" s="53"/>
    </row>
    <row r="35" spans="1:7" ht="15.75" customHeight="1" x14ac:dyDescent="0.3">
      <c r="C35" s="95">
        <v>374.4</v>
      </c>
      <c r="D35" s="88">
        <f t="shared" si="0"/>
        <v>3.4722175690723302E-3</v>
      </c>
      <c r="E35" s="53"/>
    </row>
    <row r="36" spans="1:7" ht="15.75" customHeight="1" x14ac:dyDescent="0.3">
      <c r="C36" s="95">
        <v>373.26</v>
      </c>
      <c r="D36" s="88">
        <f t="shared" si="0"/>
        <v>4.1677331685884483E-4</v>
      </c>
      <c r="E36" s="53"/>
    </row>
    <row r="37" spans="1:7" ht="15.75" customHeight="1" x14ac:dyDescent="0.3">
      <c r="C37" s="95">
        <v>373.39</v>
      </c>
      <c r="D37" s="88">
        <f t="shared" si="0"/>
        <v>7.6520117018142729E-4</v>
      </c>
      <c r="E37" s="53"/>
    </row>
    <row r="38" spans="1:7" ht="15.75" customHeight="1" x14ac:dyDescent="0.3">
      <c r="C38" s="95">
        <v>374.74</v>
      </c>
      <c r="D38" s="88">
        <f t="shared" si="0"/>
        <v>4.3834904162238161E-3</v>
      </c>
      <c r="E38" s="53"/>
    </row>
    <row r="39" spans="1:7" ht="15.75" customHeight="1" x14ac:dyDescent="0.3">
      <c r="C39" s="95">
        <v>371.09</v>
      </c>
      <c r="D39" s="88">
        <f t="shared" si="0"/>
        <v>-5.3992916193721999E-3</v>
      </c>
      <c r="E39" s="53"/>
    </row>
    <row r="40" spans="1:7" ht="15.75" customHeight="1" x14ac:dyDescent="0.3">
      <c r="C40" s="95">
        <v>377.3</v>
      </c>
      <c r="D40" s="88">
        <f t="shared" si="0"/>
        <v>1.1244838912422608E-2</v>
      </c>
      <c r="E40" s="53"/>
    </row>
    <row r="41" spans="1:7" ht="15.75" customHeight="1" x14ac:dyDescent="0.3">
      <c r="C41" s="95">
        <v>377.76</v>
      </c>
      <c r="D41" s="88">
        <f t="shared" si="0"/>
        <v>1.2477737470333273E-2</v>
      </c>
      <c r="E41" s="53"/>
    </row>
    <row r="42" spans="1:7" ht="15.75" customHeight="1" x14ac:dyDescent="0.3">
      <c r="C42" s="95">
        <v>380.79</v>
      </c>
      <c r="D42" s="88">
        <f t="shared" si="0"/>
        <v>2.0598786667006132E-2</v>
      </c>
      <c r="E42" s="53"/>
    </row>
    <row r="43" spans="1:7" ht="16.5" customHeight="1" x14ac:dyDescent="0.3">
      <c r="C43" s="96">
        <v>368.53</v>
      </c>
      <c r="D43" s="89">
        <f t="shared" si="0"/>
        <v>-1.2260640115570992E-2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7462.09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373.10450000000003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7">
        <f>C46</f>
        <v>373.10450000000003</v>
      </c>
      <c r="C49" s="93">
        <f>-IF(C46&lt;=80,10%,IF(C46&lt;250,7.5%,5%))</f>
        <v>-0.05</v>
      </c>
      <c r="D49" s="81">
        <f>IF(C46&lt;=80,C46*0.9,IF(C46&lt;250,C46*0.925,C46*0.95))</f>
        <v>354.449275</v>
      </c>
    </row>
    <row r="50" spans="1:6" ht="17.25" customHeight="1" x14ac:dyDescent="0.3">
      <c r="B50" s="468"/>
      <c r="C50" s="94">
        <f>IF(C46&lt;=80, 10%, IF(C46&lt;250, 7.5%, 5%))</f>
        <v>0.05</v>
      </c>
      <c r="D50" s="81">
        <f>IF(C46&lt;=80, C46*1.1, IF(C46&lt;250, C46*1.075, C46*1.05))</f>
        <v>391.75972500000006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88" zoomScale="50" zoomScaleNormal="40" zoomScalePageLayoutView="50" workbookViewId="0">
      <selection activeCell="H108" sqref="H10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3" t="s">
        <v>45</v>
      </c>
      <c r="B1" s="503"/>
      <c r="C1" s="503"/>
      <c r="D1" s="503"/>
      <c r="E1" s="503"/>
      <c r="F1" s="503"/>
      <c r="G1" s="503"/>
      <c r="H1" s="503"/>
      <c r="I1" s="503"/>
    </row>
    <row r="2" spans="1:9" ht="18.7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</row>
    <row r="3" spans="1:9" ht="18.7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</row>
    <row r="4" spans="1:9" ht="18.75" customHeight="1" x14ac:dyDescent="0.25">
      <c r="A4" s="503"/>
      <c r="B4" s="503"/>
      <c r="C4" s="503"/>
      <c r="D4" s="503"/>
      <c r="E4" s="503"/>
      <c r="F4" s="503"/>
      <c r="G4" s="503"/>
      <c r="H4" s="503"/>
      <c r="I4" s="503"/>
    </row>
    <row r="5" spans="1:9" ht="18.75" customHeight="1" x14ac:dyDescent="0.25">
      <c r="A5" s="503"/>
      <c r="B5" s="503"/>
      <c r="C5" s="503"/>
      <c r="D5" s="503"/>
      <c r="E5" s="503"/>
      <c r="F5" s="503"/>
      <c r="G5" s="503"/>
      <c r="H5" s="503"/>
      <c r="I5" s="503"/>
    </row>
    <row r="6" spans="1:9" ht="18.75" customHeight="1" x14ac:dyDescent="0.25">
      <c r="A6" s="503"/>
      <c r="B6" s="503"/>
      <c r="C6" s="503"/>
      <c r="D6" s="503"/>
      <c r="E6" s="503"/>
      <c r="F6" s="503"/>
      <c r="G6" s="503"/>
      <c r="H6" s="503"/>
      <c r="I6" s="503"/>
    </row>
    <row r="7" spans="1:9" ht="18.75" customHeight="1" x14ac:dyDescent="0.25">
      <c r="A7" s="503"/>
      <c r="B7" s="503"/>
      <c r="C7" s="503"/>
      <c r="D7" s="503"/>
      <c r="E7" s="503"/>
      <c r="F7" s="503"/>
      <c r="G7" s="503"/>
      <c r="H7" s="503"/>
      <c r="I7" s="503"/>
    </row>
    <row r="8" spans="1:9" x14ac:dyDescent="0.25">
      <c r="A8" s="504" t="s">
        <v>46</v>
      </c>
      <c r="B8" s="504"/>
      <c r="C8" s="504"/>
      <c r="D8" s="504"/>
      <c r="E8" s="504"/>
      <c r="F8" s="504"/>
      <c r="G8" s="504"/>
      <c r="H8" s="504"/>
      <c r="I8" s="504"/>
    </row>
    <row r="9" spans="1:9" x14ac:dyDescent="0.25">
      <c r="A9" s="504"/>
      <c r="B9" s="504"/>
      <c r="C9" s="504"/>
      <c r="D9" s="504"/>
      <c r="E9" s="504"/>
      <c r="F9" s="504"/>
      <c r="G9" s="504"/>
      <c r="H9" s="504"/>
      <c r="I9" s="504"/>
    </row>
    <row r="10" spans="1:9" x14ac:dyDescent="0.25">
      <c r="A10" s="504"/>
      <c r="B10" s="504"/>
      <c r="C10" s="504"/>
      <c r="D10" s="504"/>
      <c r="E10" s="504"/>
      <c r="F10" s="504"/>
      <c r="G10" s="504"/>
      <c r="H10" s="504"/>
      <c r="I10" s="504"/>
    </row>
    <row r="11" spans="1:9" x14ac:dyDescent="0.25">
      <c r="A11" s="504"/>
      <c r="B11" s="504"/>
      <c r="C11" s="504"/>
      <c r="D11" s="504"/>
      <c r="E11" s="504"/>
      <c r="F11" s="504"/>
      <c r="G11" s="504"/>
      <c r="H11" s="504"/>
      <c r="I11" s="504"/>
    </row>
    <row r="12" spans="1:9" x14ac:dyDescent="0.25">
      <c r="A12" s="504"/>
      <c r="B12" s="504"/>
      <c r="C12" s="504"/>
      <c r="D12" s="504"/>
      <c r="E12" s="504"/>
      <c r="F12" s="504"/>
      <c r="G12" s="504"/>
      <c r="H12" s="504"/>
      <c r="I12" s="504"/>
    </row>
    <row r="13" spans="1:9" x14ac:dyDescent="0.25">
      <c r="A13" s="504"/>
      <c r="B13" s="504"/>
      <c r="C13" s="504"/>
      <c r="D13" s="504"/>
      <c r="E13" s="504"/>
      <c r="F13" s="504"/>
      <c r="G13" s="504"/>
      <c r="H13" s="504"/>
      <c r="I13" s="504"/>
    </row>
    <row r="14" spans="1:9" x14ac:dyDescent="0.25">
      <c r="A14" s="504"/>
      <c r="B14" s="504"/>
      <c r="C14" s="504"/>
      <c r="D14" s="504"/>
      <c r="E14" s="504"/>
      <c r="F14" s="504"/>
      <c r="G14" s="504"/>
      <c r="H14" s="504"/>
      <c r="I14" s="504"/>
    </row>
    <row r="15" spans="1:9" ht="19.5" customHeight="1" x14ac:dyDescent="0.3">
      <c r="A15" s="98"/>
    </row>
    <row r="16" spans="1:9" ht="19.5" customHeight="1" x14ac:dyDescent="0.3">
      <c r="A16" s="476" t="s">
        <v>31</v>
      </c>
      <c r="B16" s="477"/>
      <c r="C16" s="477"/>
      <c r="D16" s="477"/>
      <c r="E16" s="477"/>
      <c r="F16" s="477"/>
      <c r="G16" s="477"/>
      <c r="H16" s="478"/>
    </row>
    <row r="17" spans="1:14" ht="20.25" customHeight="1" x14ac:dyDescent="0.25">
      <c r="A17" s="479" t="s">
        <v>47</v>
      </c>
      <c r="B17" s="479"/>
      <c r="C17" s="479"/>
      <c r="D17" s="479"/>
      <c r="E17" s="479"/>
      <c r="F17" s="479"/>
      <c r="G17" s="479"/>
      <c r="H17" s="479"/>
    </row>
    <row r="18" spans="1:14" ht="26.25" customHeight="1" x14ac:dyDescent="0.4">
      <c r="A18" s="100" t="s">
        <v>33</v>
      </c>
      <c r="B18" s="475" t="s">
        <v>5</v>
      </c>
      <c r="C18" s="475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80" t="s">
        <v>128</v>
      </c>
      <c r="C20" s="480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80" t="s">
        <v>11</v>
      </c>
      <c r="C21" s="480"/>
      <c r="D21" s="480"/>
      <c r="E21" s="480"/>
      <c r="F21" s="480"/>
      <c r="G21" s="480"/>
      <c r="H21" s="480"/>
      <c r="I21" s="104"/>
    </row>
    <row r="22" spans="1:14" ht="26.25" customHeight="1" x14ac:dyDescent="0.4">
      <c r="A22" s="100" t="s">
        <v>37</v>
      </c>
      <c r="B22" s="105">
        <v>42531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42532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75" t="s">
        <v>128</v>
      </c>
      <c r="C26" s="475"/>
    </row>
    <row r="27" spans="1:14" ht="26.25" customHeight="1" x14ac:dyDescent="0.4">
      <c r="A27" s="109" t="s">
        <v>48</v>
      </c>
      <c r="B27" s="481" t="s">
        <v>130</v>
      </c>
      <c r="C27" s="481"/>
    </row>
    <row r="28" spans="1:14" ht="27" customHeight="1" x14ac:dyDescent="0.4">
      <c r="A28" s="109" t="s">
        <v>6</v>
      </c>
      <c r="B28" s="110">
        <v>99.6</v>
      </c>
    </row>
    <row r="29" spans="1:14" s="14" customFormat="1" ht="27" customHeight="1" x14ac:dyDescent="0.4">
      <c r="A29" s="109" t="s">
        <v>49</v>
      </c>
      <c r="B29" s="111">
        <v>0</v>
      </c>
      <c r="C29" s="482" t="s">
        <v>50</v>
      </c>
      <c r="D29" s="483"/>
      <c r="E29" s="483"/>
      <c r="F29" s="483"/>
      <c r="G29" s="484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85" t="s">
        <v>53</v>
      </c>
      <c r="D31" s="486"/>
      <c r="E31" s="486"/>
      <c r="F31" s="486"/>
      <c r="G31" s="486"/>
      <c r="H31" s="487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85" t="s">
        <v>55</v>
      </c>
      <c r="D32" s="486"/>
      <c r="E32" s="486"/>
      <c r="F32" s="486"/>
      <c r="G32" s="486"/>
      <c r="H32" s="48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488" t="s">
        <v>59</v>
      </c>
      <c r="E36" s="489"/>
      <c r="F36" s="488" t="s">
        <v>60</v>
      </c>
      <c r="G36" s="49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55486828</v>
      </c>
      <c r="E38" s="133">
        <f>IF(ISBLANK(D38),"-",$D$48/$D$45*D38)</f>
        <v>50188888.888888896</v>
      </c>
      <c r="F38" s="132">
        <v>49127867</v>
      </c>
      <c r="G38" s="134">
        <f>IF(ISBLANK(F38),"-",$D$48/$F$45*F38)</f>
        <v>50428286.436480738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55017207</v>
      </c>
      <c r="E39" s="138">
        <f>IF(ISBLANK(D39),"-",$D$48/$D$45*D39)</f>
        <v>49764107.782481283</v>
      </c>
      <c r="F39" s="137">
        <v>49043415</v>
      </c>
      <c r="G39" s="139">
        <f>IF(ISBLANK(F39),"-",$D$48/$F$45*F39)</f>
        <v>50341598.9837946</v>
      </c>
      <c r="I39" s="492">
        <f>ABS((F43/D43*D42)-F42)/D42</f>
        <v>7.87171238077106E-3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54969938</v>
      </c>
      <c r="E40" s="138">
        <f>IF(ISBLANK(D40),"-",$D$48/$D$45*D40)</f>
        <v>49721352.074966535</v>
      </c>
      <c r="F40" s="137">
        <v>48945903</v>
      </c>
      <c r="G40" s="139">
        <f>IF(ISBLANK(F40),"-",$D$48/$F$45*F40)</f>
        <v>50241505.83163324</v>
      </c>
      <c r="I40" s="492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55157991</v>
      </c>
      <c r="E42" s="148">
        <f>AVERAGE(E38:E41)</f>
        <v>49891449.58211223</v>
      </c>
      <c r="F42" s="147">
        <f>AVERAGE(F38:F41)</f>
        <v>49039061.666666664</v>
      </c>
      <c r="G42" s="149">
        <f>AVERAGE(G38:G41)</f>
        <v>50337130.417302854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17.760000000000002</v>
      </c>
      <c r="E43" s="140"/>
      <c r="F43" s="152">
        <v>15.65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17.760000000000002</v>
      </c>
      <c r="E44" s="155"/>
      <c r="F44" s="154">
        <f>F43*$B$34</f>
        <v>15.65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17.688959999999998</v>
      </c>
      <c r="E45" s="158"/>
      <c r="F45" s="157">
        <f>F44*$B$30/100</f>
        <v>15.587400000000001</v>
      </c>
      <c r="H45" s="150"/>
    </row>
    <row r="46" spans="1:14" ht="19.5" customHeight="1" x14ac:dyDescent="0.3">
      <c r="A46" s="493" t="s">
        <v>78</v>
      </c>
      <c r="B46" s="494"/>
      <c r="C46" s="153" t="s">
        <v>79</v>
      </c>
      <c r="D46" s="159">
        <f>D45/$B$45</f>
        <v>0.17688959999999998</v>
      </c>
      <c r="E46" s="160"/>
      <c r="F46" s="161">
        <f>F45/$B$45</f>
        <v>0.15587400000000001</v>
      </c>
      <c r="H46" s="150"/>
    </row>
    <row r="47" spans="1:14" ht="27" customHeight="1" x14ac:dyDescent="0.4">
      <c r="A47" s="495"/>
      <c r="B47" s="496"/>
      <c r="C47" s="162" t="s">
        <v>80</v>
      </c>
      <c r="D47" s="163">
        <v>0.16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50114289.999707542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5.9799263105393278E-3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Rifampicin 150mg, Isoniazid 75mg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>Rifampicin</v>
      </c>
      <c r="H56" s="179"/>
    </row>
    <row r="57" spans="1:12" ht="18.75" x14ac:dyDescent="0.3">
      <c r="A57" s="176" t="s">
        <v>88</v>
      </c>
      <c r="B57" s="268">
        <v>373.10449999999997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497" t="s">
        <v>94</v>
      </c>
      <c r="D60" s="500">
        <v>41.02</v>
      </c>
      <c r="E60" s="182">
        <v>1</v>
      </c>
      <c r="F60" s="183">
        <v>50489981</v>
      </c>
      <c r="G60" s="269">
        <f>IF(ISBLANK(F60),"-",(F60/$D$50*$D$47*$B$68)*($B$57/$D$60))</f>
        <v>146.62176365376692</v>
      </c>
      <c r="H60" s="184">
        <f t="shared" ref="H60:H71" si="0">IF(ISBLANK(F60),"-",G60/$B$56)</f>
        <v>0.97747842435844612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498"/>
      <c r="D61" s="501"/>
      <c r="E61" s="185">
        <v>2</v>
      </c>
      <c r="F61" s="137">
        <v>50465989</v>
      </c>
      <c r="G61" s="270">
        <f>IF(ISBLANK(F61),"-",(F61/$D$50*$D$47*$B$68)*($B$57/$D$60))</f>
        <v>146.55209142803207</v>
      </c>
      <c r="H61" s="186">
        <f t="shared" si="0"/>
        <v>0.97701394285354715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498"/>
      <c r="D62" s="501"/>
      <c r="E62" s="185">
        <v>3</v>
      </c>
      <c r="F62" s="187">
        <v>50600158</v>
      </c>
      <c r="G62" s="270">
        <f>IF(ISBLANK(F62),"-",(F62/$D$50*$D$47*$B$68)*($B$57/$D$60))</f>
        <v>146.94171517155581</v>
      </c>
      <c r="H62" s="186">
        <f t="shared" si="0"/>
        <v>0.9796114344770388</v>
      </c>
      <c r="L62" s="112"/>
    </row>
    <row r="63" spans="1:12" ht="27" customHeight="1" x14ac:dyDescent="0.4">
      <c r="A63" s="124" t="s">
        <v>97</v>
      </c>
      <c r="B63" s="125">
        <v>1</v>
      </c>
      <c r="C63" s="499"/>
      <c r="D63" s="502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497" t="s">
        <v>99</v>
      </c>
      <c r="D64" s="500">
        <v>39.909999999999997</v>
      </c>
      <c r="E64" s="182">
        <v>1</v>
      </c>
      <c r="F64" s="183">
        <v>48176388</v>
      </c>
      <c r="G64" s="271">
        <f>IF(ISBLANK(F64),"-",(F64/$D$50*$D$47*$B$68)*($B$57/$D$64))</f>
        <v>143.79420896133277</v>
      </c>
      <c r="H64" s="190">
        <f t="shared" si="0"/>
        <v>0.95862805974221843</v>
      </c>
    </row>
    <row r="65" spans="1:8" ht="26.25" customHeight="1" x14ac:dyDescent="0.4">
      <c r="A65" s="124" t="s">
        <v>100</v>
      </c>
      <c r="B65" s="125">
        <v>1</v>
      </c>
      <c r="C65" s="498"/>
      <c r="D65" s="501"/>
      <c r="E65" s="185">
        <v>2</v>
      </c>
      <c r="F65" s="137">
        <v>48306924</v>
      </c>
      <c r="G65" s="272">
        <f>IF(ISBLANK(F65),"-",(F65/$D$50*$D$47*$B$68)*($B$57/$D$64))</f>
        <v>144.18382556897419</v>
      </c>
      <c r="H65" s="191">
        <f t="shared" si="0"/>
        <v>0.96122550379316118</v>
      </c>
    </row>
    <row r="66" spans="1:8" ht="26.25" customHeight="1" x14ac:dyDescent="0.4">
      <c r="A66" s="124" t="s">
        <v>101</v>
      </c>
      <c r="B66" s="125">
        <v>1</v>
      </c>
      <c r="C66" s="498"/>
      <c r="D66" s="501"/>
      <c r="E66" s="185">
        <v>3</v>
      </c>
      <c r="F66" s="137">
        <v>48396823</v>
      </c>
      <c r="G66" s="272">
        <f>IF(ISBLANK(F66),"-",(F66/$D$50*$D$47*$B$68)*($B$57/$D$64))</f>
        <v>144.45215111449693</v>
      </c>
      <c r="H66" s="191">
        <f t="shared" si="0"/>
        <v>0.96301434076331283</v>
      </c>
    </row>
    <row r="67" spans="1:8" ht="27" customHeight="1" x14ac:dyDescent="0.4">
      <c r="A67" s="124" t="s">
        <v>102</v>
      </c>
      <c r="B67" s="125">
        <v>1</v>
      </c>
      <c r="C67" s="499"/>
      <c r="D67" s="502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</v>
      </c>
      <c r="C68" s="497" t="s">
        <v>104</v>
      </c>
      <c r="D68" s="500">
        <v>38.93</v>
      </c>
      <c r="E68" s="182">
        <v>1</v>
      </c>
      <c r="F68" s="183">
        <v>47063830</v>
      </c>
      <c r="G68" s="271">
        <f>IF(ISBLANK(F68),"-",(F68/$D$50*$D$47*$B$68)*($B$57/$D$68))</f>
        <v>144.00970172238996</v>
      </c>
      <c r="H68" s="186">
        <f t="shared" si="0"/>
        <v>0.96006467814926644</v>
      </c>
    </row>
    <row r="69" spans="1:8" ht="27" customHeight="1" x14ac:dyDescent="0.4">
      <c r="A69" s="172" t="s">
        <v>105</v>
      </c>
      <c r="B69" s="194">
        <f>(D47*B68)/B56*B57</f>
        <v>39.79781333333333</v>
      </c>
      <c r="C69" s="498"/>
      <c r="D69" s="501"/>
      <c r="E69" s="185">
        <v>2</v>
      </c>
      <c r="F69" s="137">
        <v>47178634</v>
      </c>
      <c r="G69" s="272">
        <f>IF(ISBLANK(F69),"-",(F69/$D$50*$D$47*$B$68)*($B$57/$D$68))</f>
        <v>144.36098825807008</v>
      </c>
      <c r="H69" s="186">
        <f t="shared" si="0"/>
        <v>0.96240658838713389</v>
      </c>
    </row>
    <row r="70" spans="1:8" ht="26.25" customHeight="1" x14ac:dyDescent="0.4">
      <c r="A70" s="510" t="s">
        <v>78</v>
      </c>
      <c r="B70" s="511"/>
      <c r="C70" s="498"/>
      <c r="D70" s="501"/>
      <c r="E70" s="185">
        <v>3</v>
      </c>
      <c r="F70" s="137">
        <v>46937208</v>
      </c>
      <c r="G70" s="272">
        <f>IF(ISBLANK(F70),"-",(F70/$D$50*$D$47*$B$68)*($B$57/$D$68))</f>
        <v>143.62225351744166</v>
      </c>
      <c r="H70" s="186">
        <f t="shared" si="0"/>
        <v>0.95748169011627771</v>
      </c>
    </row>
    <row r="71" spans="1:8" ht="27" customHeight="1" x14ac:dyDescent="0.4">
      <c r="A71" s="512"/>
      <c r="B71" s="513"/>
      <c r="C71" s="509"/>
      <c r="D71" s="502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144.94874437734006</v>
      </c>
      <c r="H72" s="199">
        <f>AVERAGE(H60:H71)</f>
        <v>0.96632496251560041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9.2858533570973293E-3</v>
      </c>
      <c r="H73" s="274">
        <f>STDEV(H60:H71)/H72</f>
        <v>9.2858533570973519E-3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505" t="str">
        <f>B20</f>
        <v>Rifampicin</v>
      </c>
      <c r="D76" s="505"/>
      <c r="E76" s="205" t="s">
        <v>108</v>
      </c>
      <c r="F76" s="205"/>
      <c r="G76" s="206">
        <f>H72</f>
        <v>0.96632496251560041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91" t="str">
        <f>B26</f>
        <v>Rifampicin</v>
      </c>
      <c r="C79" s="491"/>
    </row>
    <row r="80" spans="1:8" ht="26.25" customHeight="1" x14ac:dyDescent="0.4">
      <c r="A80" s="109" t="s">
        <v>48</v>
      </c>
      <c r="B80" s="491" t="str">
        <f>B27</f>
        <v>R5-1</v>
      </c>
      <c r="C80" s="491"/>
    </row>
    <row r="81" spans="1:12" ht="27" customHeight="1" x14ac:dyDescent="0.4">
      <c r="A81" s="109" t="s">
        <v>6</v>
      </c>
      <c r="B81" s="208">
        <f>B28</f>
        <v>99.6</v>
      </c>
    </row>
    <row r="82" spans="1:12" s="14" customFormat="1" ht="27" customHeight="1" x14ac:dyDescent="0.4">
      <c r="A82" s="109" t="s">
        <v>49</v>
      </c>
      <c r="B82" s="111">
        <v>0</v>
      </c>
      <c r="C82" s="482" t="s">
        <v>50</v>
      </c>
      <c r="D82" s="483"/>
      <c r="E82" s="483"/>
      <c r="F82" s="483"/>
      <c r="G82" s="484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85" t="s">
        <v>111</v>
      </c>
      <c r="D84" s="486"/>
      <c r="E84" s="486"/>
      <c r="F84" s="486"/>
      <c r="G84" s="486"/>
      <c r="H84" s="487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85" t="s">
        <v>112</v>
      </c>
      <c r="D85" s="486"/>
      <c r="E85" s="486"/>
      <c r="F85" s="486"/>
      <c r="G85" s="486"/>
      <c r="H85" s="48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9" t="s">
        <v>59</v>
      </c>
      <c r="E89" s="210"/>
      <c r="F89" s="488" t="s">
        <v>60</v>
      </c>
      <c r="G89" s="490"/>
    </row>
    <row r="90" spans="1:12" ht="27" customHeight="1" x14ac:dyDescent="0.4">
      <c r="A90" s="124" t="s">
        <v>61</v>
      </c>
      <c r="B90" s="125">
        <v>1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13">
        <v>1</v>
      </c>
      <c r="D91" s="132">
        <v>47659897</v>
      </c>
      <c r="E91" s="133">
        <f>IF(ISBLANK(D91),"-",$D$101/$D$98*D91)</f>
        <v>52711282.450798996</v>
      </c>
      <c r="F91" s="132">
        <v>43662524</v>
      </c>
      <c r="G91" s="134">
        <f>IF(ISBLANK(F91),"-",$D$101/$F$98*F91)</f>
        <v>52601242.503009394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47518641</v>
      </c>
      <c r="E92" s="138">
        <f>IF(ISBLANK(D92),"-",$D$101/$D$98*D92)</f>
        <v>52555054.985308044</v>
      </c>
      <c r="F92" s="137">
        <v>43486648</v>
      </c>
      <c r="G92" s="139">
        <f>IF(ISBLANK(F92),"-",$D$101/$F$98*F92)</f>
        <v>52389360.658376247</v>
      </c>
      <c r="I92" s="492">
        <f>ABS((F96/D96*D95)-F95)/D95</f>
        <v>2.29880322503329E-3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47598533</v>
      </c>
      <c r="E93" s="138">
        <f>IF(ISBLANK(D93),"-",$D$101/$D$98*D93)</f>
        <v>52643414.592496432</v>
      </c>
      <c r="F93" s="137">
        <v>43598191</v>
      </c>
      <c r="G93" s="139">
        <f>IF(ISBLANK(F93),"-",$D$101/$F$98*F93)</f>
        <v>52523739.064730242</v>
      </c>
      <c r="I93" s="492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47592357</v>
      </c>
      <c r="E95" s="148">
        <f>AVERAGE(E91:E94)</f>
        <v>52636584.009534486</v>
      </c>
      <c r="F95" s="218">
        <f>AVERAGE(F91:F94)</f>
        <v>43582454.333333336</v>
      </c>
      <c r="G95" s="219">
        <f>AVERAGE(G91:G94)</f>
        <v>52504780.74203863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15.13</v>
      </c>
      <c r="E96" s="140"/>
      <c r="F96" s="152">
        <v>13.89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15.13</v>
      </c>
      <c r="E97" s="155"/>
      <c r="F97" s="154">
        <f>F96*$B$87</f>
        <v>13.89</v>
      </c>
    </row>
    <row r="98" spans="1:10" ht="19.5" customHeight="1" x14ac:dyDescent="0.3">
      <c r="A98" s="124" t="s">
        <v>76</v>
      </c>
      <c r="B98" s="224">
        <f>(B97/B96)*(B95/B94)*(B93/B92)*(B91/B90)*B89</f>
        <v>100</v>
      </c>
      <c r="C98" s="222" t="s">
        <v>115</v>
      </c>
      <c r="D98" s="225">
        <f>D97*$B$83/100</f>
        <v>15.06948</v>
      </c>
      <c r="E98" s="158"/>
      <c r="F98" s="157">
        <f>F97*$B$83/100</f>
        <v>13.834439999999999</v>
      </c>
    </row>
    <row r="99" spans="1:10" ht="19.5" customHeight="1" x14ac:dyDescent="0.3">
      <c r="A99" s="493" t="s">
        <v>78</v>
      </c>
      <c r="B99" s="507"/>
      <c r="C99" s="222" t="s">
        <v>116</v>
      </c>
      <c r="D99" s="226">
        <f>D98/$B$98</f>
        <v>0.15069480000000002</v>
      </c>
      <c r="E99" s="158"/>
      <c r="F99" s="161">
        <f>F98/$B$98</f>
        <v>0.13834439999999998</v>
      </c>
      <c r="G99" s="227"/>
      <c r="H99" s="150"/>
    </row>
    <row r="100" spans="1:10" ht="19.5" customHeight="1" x14ac:dyDescent="0.3">
      <c r="A100" s="495"/>
      <c r="B100" s="508"/>
      <c r="C100" s="222" t="s">
        <v>80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52570682.375786565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2.1065143787185473E-3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47941710</v>
      </c>
      <c r="E108" s="275">
        <f t="shared" ref="E108:E113" si="1">IF(ISBLANK(D108),"-",D108/$D$103*$D$100*$B$116)</f>
        <v>136.79214678240905</v>
      </c>
      <c r="F108" s="245">
        <f t="shared" ref="F108:F113" si="2">IF(ISBLANK(D108), "-", E108/$B$56)</f>
        <v>0.91194764521606031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48138085</v>
      </c>
      <c r="E109" s="276">
        <f t="shared" si="1"/>
        <v>137.35246383877592</v>
      </c>
      <c r="F109" s="246">
        <f t="shared" si="2"/>
        <v>0.91568309225850608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48106063</v>
      </c>
      <c r="E110" s="276">
        <f t="shared" si="1"/>
        <v>137.261095422333</v>
      </c>
      <c r="F110" s="246">
        <f t="shared" si="2"/>
        <v>0.91507396948221997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48193868</v>
      </c>
      <c r="E111" s="276">
        <f t="shared" si="1"/>
        <v>137.51162954905124</v>
      </c>
      <c r="F111" s="246">
        <f t="shared" si="2"/>
        <v>0.91674419699367493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47610179</v>
      </c>
      <c r="E112" s="276">
        <f t="shared" si="1"/>
        <v>135.84618892619326</v>
      </c>
      <c r="F112" s="246">
        <f t="shared" si="2"/>
        <v>0.90564125950795504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48215254</v>
      </c>
      <c r="E113" s="277">
        <f t="shared" si="1"/>
        <v>137.57265025213189</v>
      </c>
      <c r="F113" s="249">
        <f t="shared" si="2"/>
        <v>0.91715100168087926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137.05602912848238</v>
      </c>
      <c r="F115" s="252">
        <f>AVERAGE(F108:F113)</f>
        <v>0.91370686085654917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4.7708361756116187E-3</v>
      </c>
      <c r="F116" s="254">
        <f>STDEV(F108:F113)/F115</f>
        <v>4.7708361756116343E-3</v>
      </c>
      <c r="I116" s="98"/>
    </row>
    <row r="117" spans="1:10" ht="27" customHeight="1" x14ac:dyDescent="0.4">
      <c r="A117" s="493" t="s">
        <v>78</v>
      </c>
      <c r="B117" s="494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95"/>
      <c r="B118" s="496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505" t="str">
        <f>B20</f>
        <v>Rifampicin</v>
      </c>
      <c r="D120" s="505"/>
      <c r="E120" s="205" t="s">
        <v>124</v>
      </c>
      <c r="F120" s="205"/>
      <c r="G120" s="206">
        <f>F115</f>
        <v>0.91370686085654917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506" t="s">
        <v>26</v>
      </c>
      <c r="C122" s="506"/>
      <c r="E122" s="211" t="s">
        <v>27</v>
      </c>
      <c r="F122" s="260"/>
      <c r="G122" s="506" t="s">
        <v>28</v>
      </c>
      <c r="H122" s="506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10" customWidth="1"/>
    <col min="2" max="2" width="20.42578125" style="410" customWidth="1"/>
    <col min="3" max="3" width="31.85546875" style="410" customWidth="1"/>
    <col min="4" max="4" width="25.85546875" style="410" customWidth="1"/>
    <col min="5" max="5" width="25.7109375" style="410" customWidth="1"/>
    <col min="6" max="6" width="23.140625" style="410" customWidth="1"/>
    <col min="7" max="7" width="28.42578125" style="410" customWidth="1"/>
    <col min="8" max="8" width="21.5703125" style="410" customWidth="1"/>
    <col min="9" max="9" width="9.140625" style="41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125</v>
      </c>
      <c r="D17" s="9"/>
      <c r="E17" s="72"/>
    </row>
    <row r="18" spans="1:5" ht="16.5" customHeight="1" x14ac:dyDescent="0.3">
      <c r="A18" s="75" t="s">
        <v>4</v>
      </c>
      <c r="B18" s="8" t="s">
        <v>126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98.5</v>
      </c>
      <c r="C19" s="72"/>
      <c r="D19" s="72"/>
      <c r="E19" s="72"/>
    </row>
    <row r="20" spans="1:5" ht="16.5" customHeight="1" x14ac:dyDescent="0.3">
      <c r="A20" s="8" t="s">
        <v>8</v>
      </c>
      <c r="B20" s="12">
        <v>9.86</v>
      </c>
      <c r="C20" s="72"/>
      <c r="D20" s="72"/>
      <c r="E20" s="72"/>
    </row>
    <row r="21" spans="1:5" ht="16.5" customHeight="1" x14ac:dyDescent="0.3">
      <c r="A21" s="8" t="s">
        <v>10</v>
      </c>
      <c r="B21" s="13">
        <v>9.8599999999999993E-2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33597672</v>
      </c>
      <c r="C24" s="18">
        <v>8023.47</v>
      </c>
      <c r="D24" s="19">
        <v>1.08</v>
      </c>
      <c r="E24" s="20">
        <v>2.75</v>
      </c>
    </row>
    <row r="25" spans="1:5" ht="16.5" customHeight="1" x14ac:dyDescent="0.3">
      <c r="A25" s="17">
        <v>2</v>
      </c>
      <c r="B25" s="18">
        <v>33666020</v>
      </c>
      <c r="C25" s="18">
        <v>7956.13</v>
      </c>
      <c r="D25" s="19">
        <v>1.1200000000000001</v>
      </c>
      <c r="E25" s="19">
        <v>2.75</v>
      </c>
    </row>
    <row r="26" spans="1:5" ht="16.5" customHeight="1" x14ac:dyDescent="0.3">
      <c r="A26" s="17">
        <v>3</v>
      </c>
      <c r="B26" s="18">
        <v>33694972</v>
      </c>
      <c r="C26" s="18">
        <v>7972.7</v>
      </c>
      <c r="D26" s="19">
        <v>1.08</v>
      </c>
      <c r="E26" s="19">
        <v>2.75</v>
      </c>
    </row>
    <row r="27" spans="1:5" ht="16.5" customHeight="1" x14ac:dyDescent="0.3">
      <c r="A27" s="17">
        <v>4</v>
      </c>
      <c r="B27" s="18">
        <v>33741699</v>
      </c>
      <c r="C27" s="18">
        <v>7921.47</v>
      </c>
      <c r="D27" s="19">
        <v>1.0900000000000001</v>
      </c>
      <c r="E27" s="19">
        <v>2.75</v>
      </c>
    </row>
    <row r="28" spans="1:5" ht="16.5" customHeight="1" x14ac:dyDescent="0.3">
      <c r="A28" s="17">
        <v>5</v>
      </c>
      <c r="B28" s="18">
        <v>33717156</v>
      </c>
      <c r="C28" s="18">
        <v>7915.38</v>
      </c>
      <c r="D28" s="19">
        <v>1.07</v>
      </c>
      <c r="E28" s="19">
        <v>2.75</v>
      </c>
    </row>
    <row r="29" spans="1:5" ht="16.5" customHeight="1" x14ac:dyDescent="0.3">
      <c r="A29" s="17">
        <v>6</v>
      </c>
      <c r="B29" s="21">
        <v>33742482</v>
      </c>
      <c r="C29" s="21">
        <v>7899.14</v>
      </c>
      <c r="D29" s="22">
        <v>1.1200000000000001</v>
      </c>
      <c r="E29" s="22">
        <v>2.75</v>
      </c>
    </row>
    <row r="30" spans="1:5" ht="16.5" customHeight="1" x14ac:dyDescent="0.3">
      <c r="A30" s="23" t="s">
        <v>18</v>
      </c>
      <c r="B30" s="24">
        <v>33693333.5</v>
      </c>
      <c r="C30" s="25">
        <v>7948.0483333333332</v>
      </c>
      <c r="D30" s="26">
        <v>1.0933333333333335</v>
      </c>
      <c r="E30" s="26">
        <v>2.75</v>
      </c>
    </row>
    <row r="31" spans="1:5" ht="16.5" customHeight="1" x14ac:dyDescent="0.3">
      <c r="A31" s="27" t="s">
        <v>19</v>
      </c>
      <c r="B31" s="28">
        <f>(STDEV(B24:B29)/B30)</f>
        <v>1.6376040795256486E-3</v>
      </c>
      <c r="C31" s="29"/>
      <c r="D31" s="29"/>
      <c r="E31" s="30"/>
    </row>
    <row r="32" spans="1:5" s="410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10" customFormat="1" ht="15.75" customHeight="1" x14ac:dyDescent="0.25">
      <c r="A33" s="72"/>
      <c r="B33" s="72"/>
      <c r="C33" s="72"/>
      <c r="D33" s="72"/>
      <c r="E33" s="72"/>
    </row>
    <row r="34" spans="1:5" s="410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126</v>
      </c>
      <c r="C39" s="72"/>
      <c r="D39" s="72"/>
      <c r="E39" s="72"/>
    </row>
    <row r="40" spans="1:5" ht="16.5" customHeight="1" x14ac:dyDescent="0.3">
      <c r="A40" s="75" t="s">
        <v>6</v>
      </c>
      <c r="B40" s="12">
        <v>98.5</v>
      </c>
      <c r="C40" s="72"/>
      <c r="D40" s="72"/>
      <c r="E40" s="72"/>
    </row>
    <row r="41" spans="1:5" ht="16.5" customHeight="1" x14ac:dyDescent="0.3">
      <c r="A41" s="8" t="s">
        <v>8</v>
      </c>
      <c r="B41" s="12">
        <v>8.99</v>
      </c>
      <c r="C41" s="72"/>
      <c r="D41" s="72"/>
      <c r="E41" s="72"/>
    </row>
    <row r="42" spans="1:5" ht="16.5" customHeight="1" x14ac:dyDescent="0.3">
      <c r="A42" s="8" t="s">
        <v>10</v>
      </c>
      <c r="B42" s="13">
        <f>8.99/100</f>
        <v>8.9900000000000008E-2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29147843</v>
      </c>
      <c r="C45" s="18">
        <v>7569.91</v>
      </c>
      <c r="D45" s="19">
        <v>1.1100000000000001</v>
      </c>
      <c r="E45" s="20">
        <v>2.71</v>
      </c>
    </row>
    <row r="46" spans="1:5" ht="16.5" customHeight="1" x14ac:dyDescent="0.3">
      <c r="A46" s="17">
        <v>2</v>
      </c>
      <c r="B46" s="18">
        <v>29099893</v>
      </c>
      <c r="C46" s="18">
        <v>7595.64</v>
      </c>
      <c r="D46" s="19">
        <v>1.1299999999999999</v>
      </c>
      <c r="E46" s="19">
        <v>2.71</v>
      </c>
    </row>
    <row r="47" spans="1:5" ht="16.5" customHeight="1" x14ac:dyDescent="0.3">
      <c r="A47" s="17">
        <v>3</v>
      </c>
      <c r="B47" s="18">
        <v>29154278</v>
      </c>
      <c r="C47" s="18">
        <v>7652.54</v>
      </c>
      <c r="D47" s="19">
        <v>1.1000000000000001</v>
      </c>
      <c r="E47" s="19">
        <v>2.72</v>
      </c>
    </row>
    <row r="48" spans="1:5" ht="16.5" customHeight="1" x14ac:dyDescent="0.3">
      <c r="A48" s="17">
        <v>4</v>
      </c>
      <c r="B48" s="18">
        <v>29208840</v>
      </c>
      <c r="C48" s="18">
        <v>7660.47</v>
      </c>
      <c r="D48" s="19">
        <v>1.1200000000000001</v>
      </c>
      <c r="E48" s="19">
        <v>2.72</v>
      </c>
    </row>
    <row r="49" spans="1:7" ht="16.5" customHeight="1" x14ac:dyDescent="0.3">
      <c r="A49" s="17">
        <v>5</v>
      </c>
      <c r="B49" s="18">
        <v>28937481</v>
      </c>
      <c r="C49" s="18">
        <v>7671.54</v>
      </c>
      <c r="D49" s="19">
        <v>1.07</v>
      </c>
      <c r="E49" s="19">
        <v>2.71</v>
      </c>
    </row>
    <row r="50" spans="1:7" ht="16.5" customHeight="1" x14ac:dyDescent="0.3">
      <c r="A50" s="17">
        <v>6</v>
      </c>
      <c r="B50" s="21">
        <v>28930411</v>
      </c>
      <c r="C50" s="21">
        <v>7721.44</v>
      </c>
      <c r="D50" s="22">
        <v>1.1000000000000001</v>
      </c>
      <c r="E50" s="22">
        <v>2.71</v>
      </c>
    </row>
    <row r="51" spans="1:7" ht="16.5" customHeight="1" x14ac:dyDescent="0.3">
      <c r="A51" s="23" t="s">
        <v>18</v>
      </c>
      <c r="B51" s="24">
        <f>AVERAGE(B45:B50)</f>
        <v>29079791</v>
      </c>
      <c r="C51" s="25">
        <f>AVERAGE(C45:C50)</f>
        <v>7645.2566666666671</v>
      </c>
      <c r="D51" s="26">
        <f>AVERAGE(D45:D50)</f>
        <v>1.1050000000000002</v>
      </c>
      <c r="E51" s="26">
        <f>AVERAGE(E45:E50)</f>
        <v>2.7133333333333334</v>
      </c>
    </row>
    <row r="52" spans="1:7" ht="16.5" customHeight="1" x14ac:dyDescent="0.3">
      <c r="A52" s="27" t="s">
        <v>19</v>
      </c>
      <c r="B52" s="28">
        <f>(STDEV(B45:B50)/B51)</f>
        <v>4.0631491236362846E-3</v>
      </c>
      <c r="C52" s="29"/>
      <c r="D52" s="29"/>
      <c r="E52" s="30"/>
    </row>
    <row r="53" spans="1:7" s="410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10" customFormat="1" ht="15.75" customHeight="1" x14ac:dyDescent="0.25">
      <c r="A54" s="72"/>
      <c r="B54" s="72"/>
      <c r="C54" s="72"/>
      <c r="D54" s="72"/>
      <c r="E54" s="72"/>
    </row>
    <row r="55" spans="1:7" s="410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66" t="s">
        <v>26</v>
      </c>
      <c r="C59" s="466"/>
      <c r="E59" s="464" t="s">
        <v>27</v>
      </c>
      <c r="F59" s="46"/>
      <c r="G59" s="464" t="s">
        <v>28</v>
      </c>
    </row>
    <row r="60" spans="1:7" ht="15" customHeight="1" x14ac:dyDescent="0.3">
      <c r="A60" s="47" t="s">
        <v>29</v>
      </c>
      <c r="B60" s="49" t="s">
        <v>127</v>
      </c>
      <c r="C60" s="49"/>
      <c r="E60" s="49" t="s">
        <v>131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3" zoomScale="50" zoomScaleNormal="40" zoomScalePageLayoutView="50" workbookViewId="0">
      <selection sqref="A1:I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3" t="s">
        <v>45</v>
      </c>
      <c r="B1" s="503"/>
      <c r="C1" s="503"/>
      <c r="D1" s="503"/>
      <c r="E1" s="503"/>
      <c r="F1" s="503"/>
      <c r="G1" s="503"/>
      <c r="H1" s="503"/>
      <c r="I1" s="503"/>
    </row>
    <row r="2" spans="1:9" ht="18.7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</row>
    <row r="3" spans="1:9" ht="18.7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</row>
    <row r="4" spans="1:9" ht="18.75" customHeight="1" x14ac:dyDescent="0.25">
      <c r="A4" s="503"/>
      <c r="B4" s="503"/>
      <c r="C4" s="503"/>
      <c r="D4" s="503"/>
      <c r="E4" s="503"/>
      <c r="F4" s="503"/>
      <c r="G4" s="503"/>
      <c r="H4" s="503"/>
      <c r="I4" s="503"/>
    </row>
    <row r="5" spans="1:9" ht="18.75" customHeight="1" x14ac:dyDescent="0.25">
      <c r="A5" s="503"/>
      <c r="B5" s="503"/>
      <c r="C5" s="503"/>
      <c r="D5" s="503"/>
      <c r="E5" s="503"/>
      <c r="F5" s="503"/>
      <c r="G5" s="503"/>
      <c r="H5" s="503"/>
      <c r="I5" s="503"/>
    </row>
    <row r="6" spans="1:9" ht="18.75" customHeight="1" x14ac:dyDescent="0.25">
      <c r="A6" s="503"/>
      <c r="B6" s="503"/>
      <c r="C6" s="503"/>
      <c r="D6" s="503"/>
      <c r="E6" s="503"/>
      <c r="F6" s="503"/>
      <c r="G6" s="503"/>
      <c r="H6" s="503"/>
      <c r="I6" s="503"/>
    </row>
    <row r="7" spans="1:9" ht="18.75" customHeight="1" x14ac:dyDescent="0.25">
      <c r="A7" s="503"/>
      <c r="B7" s="503"/>
      <c r="C7" s="503"/>
      <c r="D7" s="503"/>
      <c r="E7" s="503"/>
      <c r="F7" s="503"/>
      <c r="G7" s="503"/>
      <c r="H7" s="503"/>
      <c r="I7" s="503"/>
    </row>
    <row r="8" spans="1:9" x14ac:dyDescent="0.25">
      <c r="A8" s="504" t="s">
        <v>46</v>
      </c>
      <c r="B8" s="504"/>
      <c r="C8" s="504"/>
      <c r="D8" s="504"/>
      <c r="E8" s="504"/>
      <c r="F8" s="504"/>
      <c r="G8" s="504"/>
      <c r="H8" s="504"/>
      <c r="I8" s="504"/>
    </row>
    <row r="9" spans="1:9" x14ac:dyDescent="0.25">
      <c r="A9" s="504"/>
      <c r="B9" s="504"/>
      <c r="C9" s="504"/>
      <c r="D9" s="504"/>
      <c r="E9" s="504"/>
      <c r="F9" s="504"/>
      <c r="G9" s="504"/>
      <c r="H9" s="504"/>
      <c r="I9" s="504"/>
    </row>
    <row r="10" spans="1:9" x14ac:dyDescent="0.25">
      <c r="A10" s="504"/>
      <c r="B10" s="504"/>
      <c r="C10" s="504"/>
      <c r="D10" s="504"/>
      <c r="E10" s="504"/>
      <c r="F10" s="504"/>
      <c r="G10" s="504"/>
      <c r="H10" s="504"/>
      <c r="I10" s="504"/>
    </row>
    <row r="11" spans="1:9" x14ac:dyDescent="0.25">
      <c r="A11" s="504"/>
      <c r="B11" s="504"/>
      <c r="C11" s="504"/>
      <c r="D11" s="504"/>
      <c r="E11" s="504"/>
      <c r="F11" s="504"/>
      <c r="G11" s="504"/>
      <c r="H11" s="504"/>
      <c r="I11" s="504"/>
    </row>
    <row r="12" spans="1:9" x14ac:dyDescent="0.25">
      <c r="A12" s="504"/>
      <c r="B12" s="504"/>
      <c r="C12" s="504"/>
      <c r="D12" s="504"/>
      <c r="E12" s="504"/>
      <c r="F12" s="504"/>
      <c r="G12" s="504"/>
      <c r="H12" s="504"/>
      <c r="I12" s="504"/>
    </row>
    <row r="13" spans="1:9" x14ac:dyDescent="0.25">
      <c r="A13" s="504"/>
      <c r="B13" s="504"/>
      <c r="C13" s="504"/>
      <c r="D13" s="504"/>
      <c r="E13" s="504"/>
      <c r="F13" s="504"/>
      <c r="G13" s="504"/>
      <c r="H13" s="504"/>
      <c r="I13" s="504"/>
    </row>
    <row r="14" spans="1:9" x14ac:dyDescent="0.25">
      <c r="A14" s="504"/>
      <c r="B14" s="504"/>
      <c r="C14" s="504"/>
      <c r="D14" s="504"/>
      <c r="E14" s="504"/>
      <c r="F14" s="504"/>
      <c r="G14" s="504"/>
      <c r="H14" s="504"/>
      <c r="I14" s="504"/>
    </row>
    <row r="15" spans="1:9" ht="19.5" customHeight="1" x14ac:dyDescent="0.3">
      <c r="A15" s="281"/>
    </row>
    <row r="16" spans="1:9" ht="19.5" customHeight="1" x14ac:dyDescent="0.3">
      <c r="A16" s="476" t="s">
        <v>31</v>
      </c>
      <c r="B16" s="477"/>
      <c r="C16" s="477"/>
      <c r="D16" s="477"/>
      <c r="E16" s="477"/>
      <c r="F16" s="477"/>
      <c r="G16" s="477"/>
      <c r="H16" s="478"/>
    </row>
    <row r="17" spans="1:14" ht="20.25" customHeight="1" x14ac:dyDescent="0.25">
      <c r="A17" s="479" t="s">
        <v>47</v>
      </c>
      <c r="B17" s="479"/>
      <c r="C17" s="479"/>
      <c r="D17" s="479"/>
      <c r="E17" s="479"/>
      <c r="F17" s="479"/>
      <c r="G17" s="479"/>
      <c r="H17" s="479"/>
    </row>
    <row r="18" spans="1:14" ht="26.25" customHeight="1" x14ac:dyDescent="0.4">
      <c r="A18" s="283" t="s">
        <v>33</v>
      </c>
      <c r="B18" s="475" t="s">
        <v>5</v>
      </c>
      <c r="C18" s="475"/>
      <c r="D18" s="450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480" t="s">
        <v>126</v>
      </c>
      <c r="C20" s="480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480" t="s">
        <v>11</v>
      </c>
      <c r="C21" s="480"/>
      <c r="D21" s="480"/>
      <c r="E21" s="480"/>
      <c r="F21" s="480"/>
      <c r="G21" s="480"/>
      <c r="H21" s="480"/>
      <c r="I21" s="287"/>
    </row>
    <row r="22" spans="1:14" ht="26.25" customHeight="1" x14ac:dyDescent="0.4">
      <c r="A22" s="283" t="s">
        <v>37</v>
      </c>
      <c r="B22" s="288">
        <v>42531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288">
        <v>42532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475" t="s">
        <v>126</v>
      </c>
      <c r="C26" s="475"/>
    </row>
    <row r="27" spans="1:14" ht="26.25" customHeight="1" x14ac:dyDescent="0.4">
      <c r="A27" s="292" t="s">
        <v>48</v>
      </c>
      <c r="B27" s="481" t="s">
        <v>129</v>
      </c>
      <c r="C27" s="481"/>
    </row>
    <row r="28" spans="1:14" ht="27" customHeight="1" x14ac:dyDescent="0.4">
      <c r="A28" s="292" t="s">
        <v>6</v>
      </c>
      <c r="B28" s="293">
        <v>98.5</v>
      </c>
    </row>
    <row r="29" spans="1:14" s="14" customFormat="1" ht="27" customHeight="1" x14ac:dyDescent="0.4">
      <c r="A29" s="292" t="s">
        <v>49</v>
      </c>
      <c r="B29" s="294">
        <v>0</v>
      </c>
      <c r="C29" s="482" t="s">
        <v>50</v>
      </c>
      <c r="D29" s="483"/>
      <c r="E29" s="483"/>
      <c r="F29" s="483"/>
      <c r="G29" s="484"/>
      <c r="I29" s="295"/>
      <c r="J29" s="295"/>
      <c r="K29" s="295"/>
      <c r="L29" s="295"/>
    </row>
    <row r="30" spans="1:14" s="14" customFormat="1" ht="19.5" customHeight="1" x14ac:dyDescent="0.3">
      <c r="A30" s="292" t="s">
        <v>51</v>
      </c>
      <c r="B30" s="296">
        <f>B28-B29</f>
        <v>98.5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52</v>
      </c>
      <c r="B31" s="299">
        <v>1</v>
      </c>
      <c r="C31" s="485" t="s">
        <v>53</v>
      </c>
      <c r="D31" s="486"/>
      <c r="E31" s="486"/>
      <c r="F31" s="486"/>
      <c r="G31" s="486"/>
      <c r="H31" s="487"/>
      <c r="I31" s="295"/>
      <c r="J31" s="295"/>
      <c r="K31" s="295"/>
      <c r="L31" s="295"/>
    </row>
    <row r="32" spans="1:14" s="14" customFormat="1" ht="27" customHeight="1" x14ac:dyDescent="0.4">
      <c r="A32" s="292" t="s">
        <v>54</v>
      </c>
      <c r="B32" s="299">
        <v>1</v>
      </c>
      <c r="C32" s="485" t="s">
        <v>55</v>
      </c>
      <c r="D32" s="486"/>
      <c r="E32" s="486"/>
      <c r="F32" s="486"/>
      <c r="G32" s="486"/>
      <c r="H32" s="487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56</v>
      </c>
      <c r="B34" s="304">
        <f>B31/B32</f>
        <v>1</v>
      </c>
      <c r="C34" s="282" t="s">
        <v>57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58</v>
      </c>
      <c r="B36" s="306">
        <v>100</v>
      </c>
      <c r="C36" s="282"/>
      <c r="D36" s="488" t="s">
        <v>59</v>
      </c>
      <c r="E36" s="489"/>
      <c r="F36" s="488" t="s">
        <v>60</v>
      </c>
      <c r="G36" s="490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61</v>
      </c>
      <c r="B37" s="308">
        <v>1</v>
      </c>
      <c r="C37" s="309" t="s">
        <v>62</v>
      </c>
      <c r="D37" s="310" t="s">
        <v>63</v>
      </c>
      <c r="E37" s="311" t="s">
        <v>64</v>
      </c>
      <c r="F37" s="310" t="s">
        <v>63</v>
      </c>
      <c r="G37" s="312" t="s">
        <v>64</v>
      </c>
      <c r="I37" s="313" t="s">
        <v>65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66</v>
      </c>
      <c r="B38" s="308">
        <v>1</v>
      </c>
      <c r="C38" s="314">
        <v>1</v>
      </c>
      <c r="D38" s="315">
        <v>33672014</v>
      </c>
      <c r="E38" s="316">
        <f>IF(ISBLANK(D38),"-",$D$48/$D$45*D38)</f>
        <v>27736134.512618281</v>
      </c>
      <c r="F38" s="315">
        <v>27605097</v>
      </c>
      <c r="G38" s="317">
        <f>IF(ISBLANK(F38),"-",$D$48/$F$45*F38)</f>
        <v>27611309.544647548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67</v>
      </c>
      <c r="B39" s="308">
        <v>1</v>
      </c>
      <c r="C39" s="319">
        <v>2</v>
      </c>
      <c r="D39" s="320">
        <v>33668892</v>
      </c>
      <c r="E39" s="321">
        <f>IF(ISBLANK(D39),"-",$D$48/$D$45*D39)</f>
        <v>27733562.875176329</v>
      </c>
      <c r="F39" s="320">
        <v>27617567</v>
      </c>
      <c r="G39" s="322">
        <f>IF(ISBLANK(F39),"-",$D$48/$F$45*F39)</f>
        <v>27623782.351028983</v>
      </c>
      <c r="I39" s="492">
        <f>ABS((F43/D43*D42)-F42)/D42</f>
        <v>3.3791889042000286E-3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68</v>
      </c>
      <c r="B40" s="308">
        <v>1</v>
      </c>
      <c r="C40" s="319">
        <v>3</v>
      </c>
      <c r="D40" s="320">
        <v>33629878</v>
      </c>
      <c r="E40" s="321">
        <f>IF(ISBLANK(D40),"-",$D$48/$D$45*D40)</f>
        <v>27701426.468014129</v>
      </c>
      <c r="F40" s="320">
        <v>27588547</v>
      </c>
      <c r="G40" s="322">
        <f>IF(ISBLANK(F40),"-",$D$48/$F$45*F40)</f>
        <v>27594755.820059516</v>
      </c>
      <c r="I40" s="492"/>
      <c r="L40" s="300"/>
      <c r="M40" s="300"/>
      <c r="N40" s="323"/>
    </row>
    <row r="41" spans="1:14" ht="27" customHeight="1" x14ac:dyDescent="0.4">
      <c r="A41" s="307" t="s">
        <v>69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70</v>
      </c>
      <c r="B42" s="308">
        <v>1</v>
      </c>
      <c r="C42" s="329" t="s">
        <v>71</v>
      </c>
      <c r="D42" s="330">
        <f>AVERAGE(D38:D41)</f>
        <v>33656928</v>
      </c>
      <c r="E42" s="331">
        <f>AVERAGE(E38:E41)</f>
        <v>27723707.951936245</v>
      </c>
      <c r="F42" s="330">
        <f>AVERAGE(F38:F41)</f>
        <v>27603737</v>
      </c>
      <c r="G42" s="332">
        <f>AVERAGE(G38:G41)</f>
        <v>27609949.238578681</v>
      </c>
      <c r="H42" s="333"/>
    </row>
    <row r="43" spans="1:14" ht="26.25" customHeight="1" x14ac:dyDescent="0.4">
      <c r="A43" s="307" t="s">
        <v>72</v>
      </c>
      <c r="B43" s="308">
        <v>1</v>
      </c>
      <c r="C43" s="334" t="s">
        <v>73</v>
      </c>
      <c r="D43" s="335">
        <v>9.86</v>
      </c>
      <c r="E43" s="323"/>
      <c r="F43" s="335">
        <v>8.1199999999999992</v>
      </c>
      <c r="H43" s="333"/>
    </row>
    <row r="44" spans="1:14" ht="26.25" customHeight="1" x14ac:dyDescent="0.4">
      <c r="A44" s="307" t="s">
        <v>74</v>
      </c>
      <c r="B44" s="308">
        <v>1</v>
      </c>
      <c r="C44" s="336" t="s">
        <v>75</v>
      </c>
      <c r="D44" s="337">
        <f>D43*$B$34</f>
        <v>9.86</v>
      </c>
      <c r="E44" s="338"/>
      <c r="F44" s="337">
        <f>F43*$B$34</f>
        <v>8.1199999999999992</v>
      </c>
      <c r="H44" s="333"/>
    </row>
    <row r="45" spans="1:14" ht="19.5" customHeight="1" x14ac:dyDescent="0.3">
      <c r="A45" s="307" t="s">
        <v>76</v>
      </c>
      <c r="B45" s="339">
        <f>(B44/B43)*(B42/B41)*(B40/B39)*(B38/B37)*B36</f>
        <v>100</v>
      </c>
      <c r="C45" s="336" t="s">
        <v>77</v>
      </c>
      <c r="D45" s="340">
        <f>D44*$B$30/100</f>
        <v>9.7120999999999995</v>
      </c>
      <c r="E45" s="341"/>
      <c r="F45" s="340">
        <f>F44*$B$30/100</f>
        <v>7.9981999999999998</v>
      </c>
      <c r="H45" s="333"/>
    </row>
    <row r="46" spans="1:14" ht="19.5" customHeight="1" x14ac:dyDescent="0.3">
      <c r="A46" s="493" t="s">
        <v>78</v>
      </c>
      <c r="B46" s="494"/>
      <c r="C46" s="336" t="s">
        <v>79</v>
      </c>
      <c r="D46" s="342">
        <f>D45/$B$45</f>
        <v>9.7120999999999999E-2</v>
      </c>
      <c r="E46" s="343"/>
      <c r="F46" s="344">
        <f>F45/$B$45</f>
        <v>7.9981999999999998E-2</v>
      </c>
      <c r="H46" s="333"/>
    </row>
    <row r="47" spans="1:14" ht="27" customHeight="1" x14ac:dyDescent="0.4">
      <c r="A47" s="495"/>
      <c r="B47" s="496"/>
      <c r="C47" s="345" t="s">
        <v>80</v>
      </c>
      <c r="D47" s="346">
        <v>0.08</v>
      </c>
      <c r="E47" s="347"/>
      <c r="F47" s="343"/>
      <c r="H47" s="333"/>
    </row>
    <row r="48" spans="1:14" ht="18.75" x14ac:dyDescent="0.3">
      <c r="C48" s="348" t="s">
        <v>81</v>
      </c>
      <c r="D48" s="340">
        <f>D47*$B$45</f>
        <v>8</v>
      </c>
      <c r="F48" s="349"/>
      <c r="H48" s="333"/>
    </row>
    <row r="49" spans="1:12" ht="19.5" customHeight="1" x14ac:dyDescent="0.3">
      <c r="C49" s="350" t="s">
        <v>82</v>
      </c>
      <c r="D49" s="351">
        <f>D48/B34</f>
        <v>8</v>
      </c>
      <c r="F49" s="349"/>
      <c r="H49" s="333"/>
    </row>
    <row r="50" spans="1:12" ht="18.75" x14ac:dyDescent="0.3">
      <c r="C50" s="305" t="s">
        <v>83</v>
      </c>
      <c r="D50" s="352">
        <f>AVERAGE(E38:E41,G38:G41)</f>
        <v>27666828.595257461</v>
      </c>
      <c r="F50" s="353"/>
      <c r="H50" s="333"/>
    </row>
    <row r="51" spans="1:12" ht="18.75" x14ac:dyDescent="0.3">
      <c r="C51" s="307" t="s">
        <v>84</v>
      </c>
      <c r="D51" s="354">
        <f>STDEV(E38:E41,G38:G41)/D50</f>
        <v>2.3190838712229054E-3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85</v>
      </c>
    </row>
    <row r="55" spans="1:12" ht="18.75" x14ac:dyDescent="0.3">
      <c r="A55" s="282" t="s">
        <v>86</v>
      </c>
      <c r="B55" s="359" t="str">
        <f>B21</f>
        <v>Each Tablet contains: Rifampicin 150mg, Isoniazid 75mg</v>
      </c>
    </row>
    <row r="56" spans="1:12" ht="26.25" customHeight="1" x14ac:dyDescent="0.4">
      <c r="A56" s="360" t="s">
        <v>87</v>
      </c>
      <c r="B56" s="361">
        <v>75</v>
      </c>
      <c r="C56" s="282" t="str">
        <f>B20</f>
        <v>Isoniazid</v>
      </c>
      <c r="H56" s="362"/>
    </row>
    <row r="57" spans="1:12" ht="18.75" x14ac:dyDescent="0.3">
      <c r="A57" s="359" t="s">
        <v>88</v>
      </c>
      <c r="B57" s="451">
        <f>Uniformity!C46</f>
        <v>373.10450000000003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89</v>
      </c>
      <c r="B59" s="306">
        <v>100</v>
      </c>
      <c r="C59" s="282"/>
      <c r="D59" s="363" t="s">
        <v>90</v>
      </c>
      <c r="E59" s="364" t="s">
        <v>62</v>
      </c>
      <c r="F59" s="364" t="s">
        <v>63</v>
      </c>
      <c r="G59" s="364" t="s">
        <v>91</v>
      </c>
      <c r="H59" s="309" t="s">
        <v>92</v>
      </c>
      <c r="L59" s="295"/>
    </row>
    <row r="60" spans="1:12" s="14" customFormat="1" ht="26.25" customHeight="1" x14ac:dyDescent="0.4">
      <c r="A60" s="307" t="s">
        <v>93</v>
      </c>
      <c r="B60" s="308">
        <v>1</v>
      </c>
      <c r="C60" s="497" t="s">
        <v>94</v>
      </c>
      <c r="D60" s="500"/>
      <c r="E60" s="365">
        <v>1</v>
      </c>
      <c r="F60" s="366"/>
      <c r="G60" s="452" t="str">
        <f>IF(ISBLANK(F60),"-",(F60/$D$50*$D$47*$B$68)*($B$57/$D$60))</f>
        <v>-</v>
      </c>
      <c r="H60" s="367" t="str">
        <f t="shared" ref="H60:H71" si="0">IF(ISBLANK(F60),"-",G60/$B$56)</f>
        <v>-</v>
      </c>
      <c r="L60" s="295"/>
    </row>
    <row r="61" spans="1:12" s="14" customFormat="1" ht="26.25" customHeight="1" x14ac:dyDescent="0.4">
      <c r="A61" s="307" t="s">
        <v>95</v>
      </c>
      <c r="B61" s="308">
        <v>1</v>
      </c>
      <c r="C61" s="498"/>
      <c r="D61" s="501"/>
      <c r="E61" s="368">
        <v>2</v>
      </c>
      <c r="F61" s="320"/>
      <c r="G61" s="453" t="str">
        <f>IF(ISBLANK(F61),"-",(F61/$D$50*$D$47*$B$68)*($B$57/$D$60))</f>
        <v>-</v>
      </c>
      <c r="H61" s="369" t="str">
        <f t="shared" si="0"/>
        <v>-</v>
      </c>
      <c r="L61" s="295"/>
    </row>
    <row r="62" spans="1:12" s="14" customFormat="1" ht="26.25" customHeight="1" x14ac:dyDescent="0.4">
      <c r="A62" s="307" t="s">
        <v>96</v>
      </c>
      <c r="B62" s="308">
        <v>1</v>
      </c>
      <c r="C62" s="498"/>
      <c r="D62" s="501"/>
      <c r="E62" s="368">
        <v>3</v>
      </c>
      <c r="F62" s="370"/>
      <c r="G62" s="453" t="str">
        <f>IF(ISBLANK(F62),"-",(F62/$D$50*$D$47*$B$68)*($B$57/$D$60))</f>
        <v>-</v>
      </c>
      <c r="H62" s="369" t="str">
        <f t="shared" si="0"/>
        <v>-</v>
      </c>
      <c r="L62" s="295"/>
    </row>
    <row r="63" spans="1:12" ht="27" customHeight="1" x14ac:dyDescent="0.4">
      <c r="A63" s="307" t="s">
        <v>97</v>
      </c>
      <c r="B63" s="308">
        <v>1</v>
      </c>
      <c r="C63" s="499"/>
      <c r="D63" s="502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98</v>
      </c>
      <c r="B64" s="308">
        <v>1</v>
      </c>
      <c r="C64" s="497" t="s">
        <v>99</v>
      </c>
      <c r="D64" s="500">
        <v>39.909999999999997</v>
      </c>
      <c r="E64" s="365">
        <v>1</v>
      </c>
      <c r="F64" s="366">
        <v>26342223</v>
      </c>
      <c r="G64" s="454">
        <f>IF(ISBLANK(F64),"-",(F64/$D$50*$D$47*$B$68)*($B$57/$D$64))</f>
        <v>71.208492005107573</v>
      </c>
      <c r="H64" s="373">
        <f t="shared" si="0"/>
        <v>0.94944656006810102</v>
      </c>
    </row>
    <row r="65" spans="1:8" ht="26.25" customHeight="1" x14ac:dyDescent="0.4">
      <c r="A65" s="307" t="s">
        <v>100</v>
      </c>
      <c r="B65" s="308">
        <v>1</v>
      </c>
      <c r="C65" s="498"/>
      <c r="D65" s="501"/>
      <c r="E65" s="368">
        <v>2</v>
      </c>
      <c r="F65" s="320">
        <v>26426022</v>
      </c>
      <c r="G65" s="455">
        <f>IF(ISBLANK(F65),"-",(F65/$D$50*$D$47*$B$68)*($B$57/$D$64))</f>
        <v>71.435018081571826</v>
      </c>
      <c r="H65" s="374">
        <f t="shared" si="0"/>
        <v>0.95246690775429099</v>
      </c>
    </row>
    <row r="66" spans="1:8" ht="26.25" customHeight="1" x14ac:dyDescent="0.4">
      <c r="A66" s="307" t="s">
        <v>101</v>
      </c>
      <c r="B66" s="308">
        <v>1</v>
      </c>
      <c r="C66" s="498"/>
      <c r="D66" s="501"/>
      <c r="E66" s="368">
        <v>3</v>
      </c>
      <c r="F66" s="320">
        <v>26498527</v>
      </c>
      <c r="G66" s="455">
        <f>IF(ISBLANK(F66),"-",(F66/$D$50*$D$47*$B$68)*($B$57/$D$64))</f>
        <v>71.631014133720896</v>
      </c>
      <c r="H66" s="374">
        <f t="shared" si="0"/>
        <v>0.95508018844961196</v>
      </c>
    </row>
    <row r="67" spans="1:8" ht="27" customHeight="1" x14ac:dyDescent="0.4">
      <c r="A67" s="307" t="s">
        <v>102</v>
      </c>
      <c r="B67" s="308">
        <v>1</v>
      </c>
      <c r="C67" s="499"/>
      <c r="D67" s="502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103</v>
      </c>
      <c r="B68" s="376">
        <f>(B67/B66)*(B65/B64)*(B63/B62)*(B61/B60)*B59</f>
        <v>100</v>
      </c>
      <c r="C68" s="497" t="s">
        <v>104</v>
      </c>
      <c r="D68" s="500">
        <v>38.93</v>
      </c>
      <c r="E68" s="365">
        <v>1</v>
      </c>
      <c r="F68" s="366">
        <v>25034442</v>
      </c>
      <c r="G68" s="454">
        <f>IF(ISBLANK(F68),"-",(F68/$D$50*$D$47*$B$68)*($B$57/$D$68))</f>
        <v>69.376854698865557</v>
      </c>
      <c r="H68" s="369">
        <f t="shared" si="0"/>
        <v>0.92502472931820745</v>
      </c>
    </row>
    <row r="69" spans="1:8" ht="27" customHeight="1" x14ac:dyDescent="0.4">
      <c r="A69" s="355" t="s">
        <v>105</v>
      </c>
      <c r="B69" s="377">
        <f>(D47*B68)/B56*B57</f>
        <v>39.797813333333337</v>
      </c>
      <c r="C69" s="498"/>
      <c r="D69" s="501"/>
      <c r="E69" s="368">
        <v>2</v>
      </c>
      <c r="F69" s="320">
        <v>25115067</v>
      </c>
      <c r="G69" s="455">
        <f>IF(ISBLANK(F69),"-",(F69/$D$50*$D$47*$B$68)*($B$57/$D$68))</f>
        <v>69.600287236730622</v>
      </c>
      <c r="H69" s="369">
        <f t="shared" si="0"/>
        <v>0.92800382982307494</v>
      </c>
    </row>
    <row r="70" spans="1:8" ht="26.25" customHeight="1" x14ac:dyDescent="0.4">
      <c r="A70" s="510" t="s">
        <v>78</v>
      </c>
      <c r="B70" s="511"/>
      <c r="C70" s="498"/>
      <c r="D70" s="501"/>
      <c r="E70" s="368">
        <v>3</v>
      </c>
      <c r="F70" s="320">
        <v>25075849</v>
      </c>
      <c r="G70" s="455">
        <f>IF(ISBLANK(F70),"-",(F70/$D$50*$D$47*$B$68)*($B$57/$D$68))</f>
        <v>69.491604107800498</v>
      </c>
      <c r="H70" s="369">
        <f t="shared" si="0"/>
        <v>0.92655472143733997</v>
      </c>
    </row>
    <row r="71" spans="1:8" ht="27" customHeight="1" x14ac:dyDescent="0.4">
      <c r="A71" s="512"/>
      <c r="B71" s="513"/>
      <c r="C71" s="509"/>
      <c r="D71" s="502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71</v>
      </c>
      <c r="G72" s="461">
        <f>AVERAGE(G60:G71)</f>
        <v>70.457211710632819</v>
      </c>
      <c r="H72" s="382">
        <f>AVERAGE(H60:H71)</f>
        <v>0.93942948947510418</v>
      </c>
    </row>
    <row r="73" spans="1:8" ht="26.25" customHeight="1" x14ac:dyDescent="0.4">
      <c r="C73" s="379"/>
      <c r="D73" s="379"/>
      <c r="E73" s="379"/>
      <c r="F73" s="383" t="s">
        <v>84</v>
      </c>
      <c r="G73" s="457">
        <f>STDEV(G60:G71)/G72</f>
        <v>1.5196769907497897E-2</v>
      </c>
      <c r="H73" s="457">
        <f>STDEV(H60:H71)/H72</f>
        <v>1.5196769907497904E-2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20</v>
      </c>
      <c r="G74" s="386">
        <f>COUNT(G60:G71)</f>
        <v>6</v>
      </c>
      <c r="H74" s="386">
        <f>COUNT(H60:H71)</f>
        <v>6</v>
      </c>
    </row>
    <row r="76" spans="1:8" ht="26.25" customHeight="1" x14ac:dyDescent="0.4">
      <c r="A76" s="291" t="s">
        <v>106</v>
      </c>
      <c r="B76" s="387" t="s">
        <v>107</v>
      </c>
      <c r="C76" s="505" t="str">
        <f>B20</f>
        <v>Isoniazid</v>
      </c>
      <c r="D76" s="505"/>
      <c r="E76" s="388" t="s">
        <v>108</v>
      </c>
      <c r="F76" s="388"/>
      <c r="G76" s="389">
        <f>H72</f>
        <v>0.93942948947510418</v>
      </c>
      <c r="H76" s="390"/>
    </row>
    <row r="77" spans="1:8" ht="18.75" x14ac:dyDescent="0.3">
      <c r="A77" s="290" t="s">
        <v>109</v>
      </c>
      <c r="B77" s="290" t="s">
        <v>110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491" t="str">
        <f>B26</f>
        <v>Isoniazid</v>
      </c>
      <c r="C79" s="491"/>
    </row>
    <row r="80" spans="1:8" ht="26.25" customHeight="1" x14ac:dyDescent="0.4">
      <c r="A80" s="292" t="s">
        <v>48</v>
      </c>
      <c r="B80" s="491" t="str">
        <f>B27</f>
        <v>I8-2</v>
      </c>
      <c r="C80" s="491"/>
    </row>
    <row r="81" spans="1:12" ht="27" customHeight="1" x14ac:dyDescent="0.4">
      <c r="A81" s="292" t="s">
        <v>6</v>
      </c>
      <c r="B81" s="391">
        <f>B28</f>
        <v>98.5</v>
      </c>
    </row>
    <row r="82" spans="1:12" s="14" customFormat="1" ht="27" customHeight="1" x14ac:dyDescent="0.4">
      <c r="A82" s="292" t="s">
        <v>49</v>
      </c>
      <c r="B82" s="294">
        <v>0</v>
      </c>
      <c r="C82" s="482" t="s">
        <v>50</v>
      </c>
      <c r="D82" s="483"/>
      <c r="E82" s="483"/>
      <c r="F82" s="483"/>
      <c r="G82" s="484"/>
      <c r="I82" s="295"/>
      <c r="J82" s="295"/>
      <c r="K82" s="295"/>
      <c r="L82" s="295"/>
    </row>
    <row r="83" spans="1:12" s="14" customFormat="1" ht="19.5" customHeight="1" x14ac:dyDescent="0.3">
      <c r="A83" s="292" t="s">
        <v>51</v>
      </c>
      <c r="B83" s="296">
        <f>B81-B82</f>
        <v>98.5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52</v>
      </c>
      <c r="B84" s="299">
        <v>1</v>
      </c>
      <c r="C84" s="485" t="s">
        <v>111</v>
      </c>
      <c r="D84" s="486"/>
      <c r="E84" s="486"/>
      <c r="F84" s="486"/>
      <c r="G84" s="486"/>
      <c r="H84" s="487"/>
      <c r="I84" s="295"/>
      <c r="J84" s="295"/>
      <c r="K84" s="295"/>
      <c r="L84" s="295"/>
    </row>
    <row r="85" spans="1:12" s="14" customFormat="1" ht="27" customHeight="1" x14ac:dyDescent="0.4">
      <c r="A85" s="292" t="s">
        <v>54</v>
      </c>
      <c r="B85" s="299">
        <v>1</v>
      </c>
      <c r="C85" s="485" t="s">
        <v>112</v>
      </c>
      <c r="D85" s="486"/>
      <c r="E85" s="486"/>
      <c r="F85" s="486"/>
      <c r="G85" s="486"/>
      <c r="H85" s="487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56</v>
      </c>
      <c r="B87" s="304">
        <f>B84/B85</f>
        <v>1</v>
      </c>
      <c r="C87" s="282" t="s">
        <v>57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58</v>
      </c>
      <c r="B89" s="306">
        <v>100</v>
      </c>
      <c r="D89" s="392" t="s">
        <v>59</v>
      </c>
      <c r="E89" s="393"/>
      <c r="F89" s="488" t="s">
        <v>60</v>
      </c>
      <c r="G89" s="490"/>
    </row>
    <row r="90" spans="1:12" ht="27" customHeight="1" x14ac:dyDescent="0.4">
      <c r="A90" s="307" t="s">
        <v>61</v>
      </c>
      <c r="B90" s="308">
        <v>1</v>
      </c>
      <c r="C90" s="394" t="s">
        <v>62</v>
      </c>
      <c r="D90" s="310" t="s">
        <v>63</v>
      </c>
      <c r="E90" s="311" t="s">
        <v>64</v>
      </c>
      <c r="F90" s="310" t="s">
        <v>63</v>
      </c>
      <c r="G90" s="395" t="s">
        <v>64</v>
      </c>
      <c r="I90" s="313" t="s">
        <v>65</v>
      </c>
    </row>
    <row r="91" spans="1:12" ht="26.25" customHeight="1" x14ac:dyDescent="0.4">
      <c r="A91" s="307" t="s">
        <v>66</v>
      </c>
      <c r="B91" s="308">
        <v>1</v>
      </c>
      <c r="C91" s="396">
        <v>1</v>
      </c>
      <c r="D91" s="315">
        <v>28837304</v>
      </c>
      <c r="E91" s="316">
        <f>IF(ISBLANK(D91),"-",$D$101/$D$98*D91)</f>
        <v>27137978.088080566</v>
      </c>
      <c r="F91" s="315">
        <v>28460634</v>
      </c>
      <c r="G91" s="317">
        <f>IF(ISBLANK(F91),"-",$D$101/$F$98*F91)</f>
        <v>27933144.499275677</v>
      </c>
      <c r="I91" s="318"/>
    </row>
    <row r="92" spans="1:12" ht="26.25" customHeight="1" x14ac:dyDescent="0.4">
      <c r="A92" s="307" t="s">
        <v>67</v>
      </c>
      <c r="B92" s="308">
        <v>1</v>
      </c>
      <c r="C92" s="380">
        <v>2</v>
      </c>
      <c r="D92" s="320">
        <v>29524004</v>
      </c>
      <c r="E92" s="321">
        <f>IF(ISBLANK(D92),"-",$D$101/$D$98*D92)</f>
        <v>27784212.200433265</v>
      </c>
      <c r="F92" s="320">
        <v>28504588</v>
      </c>
      <c r="G92" s="322">
        <f>IF(ISBLANK(F92),"-",$D$101/$F$98*F92)</f>
        <v>27976283.855669536</v>
      </c>
      <c r="I92" s="492">
        <f>ABS((F96/D96*D95)-F95)/D95</f>
        <v>8.2946075206946739E-3</v>
      </c>
    </row>
    <row r="93" spans="1:12" ht="26.25" customHeight="1" x14ac:dyDescent="0.4">
      <c r="A93" s="307" t="s">
        <v>68</v>
      </c>
      <c r="B93" s="308">
        <v>1</v>
      </c>
      <c r="C93" s="380">
        <v>3</v>
      </c>
      <c r="D93" s="320">
        <v>29975932</v>
      </c>
      <c r="E93" s="321">
        <f>IF(ISBLANK(D93),"-",$D$101/$D$98*D93)</f>
        <v>28209508.967474665</v>
      </c>
      <c r="F93" s="320">
        <v>28469059</v>
      </c>
      <c r="G93" s="322">
        <f>IF(ISBLANK(F93),"-",$D$101/$F$98*F93)</f>
        <v>27941413.350293066</v>
      </c>
      <c r="I93" s="492"/>
    </row>
    <row r="94" spans="1:12" ht="27" customHeight="1" x14ac:dyDescent="0.4">
      <c r="A94" s="307" t="s">
        <v>69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70</v>
      </c>
      <c r="B95" s="308">
        <v>1</v>
      </c>
      <c r="C95" s="399" t="s">
        <v>71</v>
      </c>
      <c r="D95" s="400">
        <f>AVERAGE(D91:D94)</f>
        <v>29445746.666666668</v>
      </c>
      <c r="E95" s="331">
        <f>AVERAGE(E91:E94)</f>
        <v>27710566.418662831</v>
      </c>
      <c r="F95" s="401">
        <f>AVERAGE(F91:F94)</f>
        <v>28478093.666666668</v>
      </c>
      <c r="G95" s="402">
        <f>AVERAGE(G91:G94)</f>
        <v>27950280.568412762</v>
      </c>
    </row>
    <row r="96" spans="1:12" ht="26.25" customHeight="1" x14ac:dyDescent="0.4">
      <c r="A96" s="307" t="s">
        <v>72</v>
      </c>
      <c r="B96" s="293">
        <v>1</v>
      </c>
      <c r="C96" s="403" t="s">
        <v>113</v>
      </c>
      <c r="D96" s="404">
        <v>8.99</v>
      </c>
      <c r="E96" s="323"/>
      <c r="F96" s="335">
        <v>8.6199999999999992</v>
      </c>
    </row>
    <row r="97" spans="1:10" ht="26.25" customHeight="1" x14ac:dyDescent="0.4">
      <c r="A97" s="307" t="s">
        <v>74</v>
      </c>
      <c r="B97" s="293">
        <v>1</v>
      </c>
      <c r="C97" s="405" t="s">
        <v>114</v>
      </c>
      <c r="D97" s="406">
        <f>D96*$B$87</f>
        <v>8.99</v>
      </c>
      <c r="E97" s="338"/>
      <c r="F97" s="337">
        <f>F96*$B$87</f>
        <v>8.6199999999999992</v>
      </c>
    </row>
    <row r="98" spans="1:10" ht="19.5" customHeight="1" x14ac:dyDescent="0.3">
      <c r="A98" s="307" t="s">
        <v>76</v>
      </c>
      <c r="B98" s="407">
        <f>(B97/B96)*(B95/B94)*(B93/B92)*(B91/B90)*B89</f>
        <v>100</v>
      </c>
      <c r="C98" s="405" t="s">
        <v>115</v>
      </c>
      <c r="D98" s="408">
        <f>D97*$B$83/100</f>
        <v>8.8551500000000001</v>
      </c>
      <c r="E98" s="341"/>
      <c r="F98" s="340">
        <f>F97*$B$83/100</f>
        <v>8.4906999999999986</v>
      </c>
    </row>
    <row r="99" spans="1:10" ht="19.5" customHeight="1" x14ac:dyDescent="0.3">
      <c r="A99" s="493" t="s">
        <v>78</v>
      </c>
      <c r="B99" s="507"/>
      <c r="C99" s="405" t="s">
        <v>116</v>
      </c>
      <c r="D99" s="409">
        <f>D98/$B$98</f>
        <v>8.8551500000000005E-2</v>
      </c>
      <c r="E99" s="341"/>
      <c r="F99" s="344">
        <f>F98/$B$98</f>
        <v>8.4906999999999982E-2</v>
      </c>
      <c r="G99" s="410"/>
      <c r="H99" s="333"/>
    </row>
    <row r="100" spans="1:10" ht="19.5" customHeight="1" x14ac:dyDescent="0.3">
      <c r="A100" s="495"/>
      <c r="B100" s="508"/>
      <c r="C100" s="405" t="s">
        <v>80</v>
      </c>
      <c r="D100" s="411">
        <f>$B$56/$B$116</f>
        <v>8.3333333333333329E-2</v>
      </c>
      <c r="F100" s="349"/>
      <c r="G100" s="412"/>
      <c r="H100" s="333"/>
    </row>
    <row r="101" spans="1:10" ht="18.75" x14ac:dyDescent="0.3">
      <c r="C101" s="405" t="s">
        <v>81</v>
      </c>
      <c r="D101" s="406">
        <f>D100*$B$98</f>
        <v>8.3333333333333321</v>
      </c>
      <c r="F101" s="349"/>
      <c r="G101" s="410"/>
      <c r="H101" s="333"/>
    </row>
    <row r="102" spans="1:10" ht="19.5" customHeight="1" x14ac:dyDescent="0.3">
      <c r="C102" s="413" t="s">
        <v>82</v>
      </c>
      <c r="D102" s="414">
        <f>D101/B34</f>
        <v>8.3333333333333321</v>
      </c>
      <c r="F102" s="353"/>
      <c r="G102" s="410"/>
      <c r="H102" s="333"/>
      <c r="J102" s="415"/>
    </row>
    <row r="103" spans="1:10" ht="18.75" x14ac:dyDescent="0.3">
      <c r="C103" s="416" t="s">
        <v>117</v>
      </c>
      <c r="D103" s="417">
        <f>AVERAGE(E91:E94,G91:G94)</f>
        <v>27830423.493537795</v>
      </c>
      <c r="F103" s="353"/>
      <c r="G103" s="418"/>
      <c r="H103" s="333"/>
      <c r="J103" s="419"/>
    </row>
    <row r="104" spans="1:10" ht="18.75" x14ac:dyDescent="0.3">
      <c r="C104" s="383" t="s">
        <v>84</v>
      </c>
      <c r="D104" s="420">
        <f>STDEV(E91:E94,G91:G94)/D103</f>
        <v>1.3148007345296236E-2</v>
      </c>
      <c r="F104" s="353"/>
      <c r="G104" s="410"/>
      <c r="H104" s="333"/>
      <c r="J104" s="419"/>
    </row>
    <row r="105" spans="1:10" ht="19.5" customHeight="1" x14ac:dyDescent="0.3">
      <c r="C105" s="385" t="s">
        <v>20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118</v>
      </c>
      <c r="B107" s="306">
        <v>900</v>
      </c>
      <c r="C107" s="422" t="s">
        <v>119</v>
      </c>
      <c r="D107" s="423" t="s">
        <v>63</v>
      </c>
      <c r="E107" s="424" t="s">
        <v>120</v>
      </c>
      <c r="F107" s="425" t="s">
        <v>121</v>
      </c>
    </row>
    <row r="108" spans="1:10" ht="26.25" customHeight="1" x14ac:dyDescent="0.4">
      <c r="A108" s="307" t="s">
        <v>122</v>
      </c>
      <c r="B108" s="308">
        <v>1</v>
      </c>
      <c r="C108" s="426">
        <v>1</v>
      </c>
      <c r="D108" s="427">
        <v>26846716</v>
      </c>
      <c r="E108" s="458">
        <f t="shared" ref="E108:E113" si="1">IF(ISBLANK(D108),"-",D108/$D$103*$D$100*$B$116)</f>
        <v>72.349014037372953</v>
      </c>
      <c r="F108" s="428">
        <f t="shared" ref="F108:F113" si="2">IF(ISBLANK(D108), "-", E108/$B$56)</f>
        <v>0.96465352049830599</v>
      </c>
    </row>
    <row r="109" spans="1:10" ht="26.25" customHeight="1" x14ac:dyDescent="0.4">
      <c r="A109" s="307" t="s">
        <v>95</v>
      </c>
      <c r="B109" s="308">
        <v>1</v>
      </c>
      <c r="C109" s="426">
        <v>2</v>
      </c>
      <c r="D109" s="427">
        <v>29402832</v>
      </c>
      <c r="E109" s="459">
        <f t="shared" si="1"/>
        <v>79.237471916733455</v>
      </c>
      <c r="F109" s="429">
        <f t="shared" si="2"/>
        <v>1.0564996255564461</v>
      </c>
    </row>
    <row r="110" spans="1:10" ht="26.25" customHeight="1" x14ac:dyDescent="0.4">
      <c r="A110" s="307" t="s">
        <v>96</v>
      </c>
      <c r="B110" s="308">
        <v>1</v>
      </c>
      <c r="C110" s="426">
        <v>3</v>
      </c>
      <c r="D110" s="427">
        <v>26848066</v>
      </c>
      <c r="E110" s="459">
        <f t="shared" si="1"/>
        <v>72.352652142270045</v>
      </c>
      <c r="F110" s="429">
        <f t="shared" si="2"/>
        <v>0.96470202856360066</v>
      </c>
    </row>
    <row r="111" spans="1:10" ht="26.25" customHeight="1" x14ac:dyDescent="0.4">
      <c r="A111" s="307" t="s">
        <v>97</v>
      </c>
      <c r="B111" s="308">
        <v>1</v>
      </c>
      <c r="C111" s="426">
        <v>4</v>
      </c>
      <c r="D111" s="427">
        <v>26874613</v>
      </c>
      <c r="E111" s="459">
        <f t="shared" si="1"/>
        <v>72.424193453901978</v>
      </c>
      <c r="F111" s="429">
        <f t="shared" si="2"/>
        <v>0.965655912718693</v>
      </c>
    </row>
    <row r="112" spans="1:10" ht="26.25" customHeight="1" x14ac:dyDescent="0.4">
      <c r="A112" s="307" t="s">
        <v>98</v>
      </c>
      <c r="B112" s="308">
        <v>1</v>
      </c>
      <c r="C112" s="426">
        <v>5</v>
      </c>
      <c r="D112" s="427">
        <v>26838087</v>
      </c>
      <c r="E112" s="459">
        <f t="shared" si="1"/>
        <v>72.325759809849231</v>
      </c>
      <c r="F112" s="429">
        <f t="shared" si="2"/>
        <v>0.9643434641313231</v>
      </c>
    </row>
    <row r="113" spans="1:10" ht="26.25" customHeight="1" x14ac:dyDescent="0.4">
      <c r="A113" s="307" t="s">
        <v>100</v>
      </c>
      <c r="B113" s="308">
        <v>1</v>
      </c>
      <c r="C113" s="430">
        <v>6</v>
      </c>
      <c r="D113" s="431">
        <v>26894495</v>
      </c>
      <c r="E113" s="460">
        <f t="shared" si="1"/>
        <v>72.47777330691234</v>
      </c>
      <c r="F113" s="432">
        <f t="shared" si="2"/>
        <v>0.96637031075883117</v>
      </c>
    </row>
    <row r="114" spans="1:10" ht="26.25" customHeight="1" x14ac:dyDescent="0.4">
      <c r="A114" s="307" t="s">
        <v>101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102</v>
      </c>
      <c r="B115" s="308">
        <v>1</v>
      </c>
      <c r="C115" s="426"/>
      <c r="D115" s="434" t="s">
        <v>71</v>
      </c>
      <c r="E115" s="462">
        <f>AVERAGE(E108:E113)</f>
        <v>73.527810777840003</v>
      </c>
      <c r="F115" s="435">
        <f>AVERAGE(F108:F113)</f>
        <v>0.98037081037120011</v>
      </c>
    </row>
    <row r="116" spans="1:10" ht="27" customHeight="1" x14ac:dyDescent="0.4">
      <c r="A116" s="307" t="s">
        <v>103</v>
      </c>
      <c r="B116" s="339">
        <f>(B115/B114)*(B113/B112)*(B111/B110)*(B109/B108)*B107</f>
        <v>900</v>
      </c>
      <c r="C116" s="436"/>
      <c r="D116" s="399" t="s">
        <v>84</v>
      </c>
      <c r="E116" s="437">
        <f>STDEV(E108:E113)/E115</f>
        <v>3.8049859520346667E-2</v>
      </c>
      <c r="F116" s="437">
        <f>STDEV(F108:F113)/F115</f>
        <v>3.804985952034666E-2</v>
      </c>
      <c r="I116" s="281"/>
    </row>
    <row r="117" spans="1:10" ht="27" customHeight="1" x14ac:dyDescent="0.4">
      <c r="A117" s="493" t="s">
        <v>78</v>
      </c>
      <c r="B117" s="494"/>
      <c r="C117" s="438"/>
      <c r="D117" s="439" t="s">
        <v>20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95"/>
      <c r="B118" s="496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106</v>
      </c>
      <c r="B120" s="387" t="s">
        <v>123</v>
      </c>
      <c r="C120" s="505" t="str">
        <f>B20</f>
        <v>Isoniazid</v>
      </c>
      <c r="D120" s="505"/>
      <c r="E120" s="388" t="s">
        <v>124</v>
      </c>
      <c r="F120" s="388"/>
      <c r="G120" s="389">
        <f>F115</f>
        <v>0.98037081037120011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506" t="s">
        <v>26</v>
      </c>
      <c r="C122" s="506"/>
      <c r="E122" s="394" t="s">
        <v>27</v>
      </c>
      <c r="F122" s="443"/>
      <c r="G122" s="506" t="s">
        <v>28</v>
      </c>
      <c r="H122" s="506"/>
    </row>
    <row r="123" spans="1:10" ht="69.95" customHeight="1" x14ac:dyDescent="0.3">
      <c r="A123" s="444" t="s">
        <v>29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30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Rifampicin</vt:lpstr>
      <vt:lpstr>Uniformity</vt:lpstr>
      <vt:lpstr>Rifampicin</vt:lpstr>
      <vt:lpstr>SST Isoniazid</vt:lpstr>
      <vt:lpstr>Isoniazid</vt:lpstr>
      <vt:lpstr>Isoniazid!Print_Area</vt:lpstr>
      <vt:lpstr>Rifampicin!Print_Area</vt:lpstr>
      <vt:lpstr>'SST Isoniazid'!Print_Area</vt:lpstr>
      <vt:lpstr>'SST Rifampicin'!Print_Area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2016-06-20T07:27:19Z</cp:lastPrinted>
  <dcterms:created xsi:type="dcterms:W3CDTF">2005-07-05T10:19:27Z</dcterms:created>
  <dcterms:modified xsi:type="dcterms:W3CDTF">2016-06-20T07:29:19Z</dcterms:modified>
</cp:coreProperties>
</file>