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25" windowWidth="15015" windowHeight="7620" activeTab="6"/>
  </bookViews>
  <sheets>
    <sheet name="SST ISONIAZID" sheetId="1" r:id="rId1"/>
    <sheet name="SST PYRAZINAMIDE" sheetId="6" r:id="rId2"/>
    <sheet name="SST RIFAMPICIN" sheetId="7" r:id="rId3"/>
    <sheet name="Uniformity" sheetId="2" r:id="rId4"/>
    <sheet name="Isoniazid" sheetId="4" r:id="rId5"/>
    <sheet name="Pyrazinamide" sheetId="5" r:id="rId6"/>
    <sheet name="Rifampin" sheetId="3" r:id="rId7"/>
  </sheets>
  <definedNames>
    <definedName name="_xlnm.Print_Area" localSheetId="3">Uniformity!$A$1:$F$54</definedName>
  </definedNames>
  <calcPr calcId="145621"/>
</workbook>
</file>

<file path=xl/calcChain.xml><?xml version="1.0" encoding="utf-8"?>
<calcChain xmlns="http://schemas.openxmlformats.org/spreadsheetml/2006/main">
  <c r="B53" i="7" l="1"/>
  <c r="E51" i="7"/>
  <c r="D51" i="7"/>
  <c r="C51" i="7"/>
  <c r="B51" i="7"/>
  <c r="B52" i="7" s="1"/>
  <c r="B32" i="7"/>
  <c r="E30" i="7"/>
  <c r="D30" i="7"/>
  <c r="C30" i="7"/>
  <c r="B30" i="7"/>
  <c r="B31" i="7" s="1"/>
  <c r="B53" i="6"/>
  <c r="E51" i="6"/>
  <c r="D51" i="6"/>
  <c r="C51" i="6"/>
  <c r="B51" i="6"/>
  <c r="B52" i="6" s="1"/>
  <c r="B32" i="6"/>
  <c r="E30" i="6"/>
  <c r="D30" i="6"/>
  <c r="C30" i="6"/>
  <c r="B30" i="6"/>
  <c r="B31" i="6" s="1"/>
  <c r="C120" i="5"/>
  <c r="B116" i="5"/>
  <c r="D100" i="5" s="1"/>
  <c r="B98" i="5"/>
  <c r="F95" i="5"/>
  <c r="D95" i="5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D44" i="5" s="1"/>
  <c r="B30" i="5"/>
  <c r="C120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C50" i="2" s="1"/>
  <c r="C45" i="2"/>
  <c r="D40" i="2"/>
  <c r="D31" i="2"/>
  <c r="D27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26" i="2" l="1"/>
  <c r="D34" i="2"/>
  <c r="D97" i="4"/>
  <c r="D35" i="2"/>
  <c r="D30" i="2"/>
  <c r="D39" i="2"/>
  <c r="F98" i="3"/>
  <c r="F99" i="3" s="1"/>
  <c r="I92" i="3"/>
  <c r="I92" i="5"/>
  <c r="I39" i="5"/>
  <c r="I39" i="4"/>
  <c r="I92" i="4"/>
  <c r="I39" i="3"/>
  <c r="D101" i="5"/>
  <c r="D102" i="5" s="1"/>
  <c r="D97" i="5"/>
  <c r="D49" i="5"/>
  <c r="D45" i="5"/>
  <c r="D46" i="5" s="1"/>
  <c r="D101" i="4"/>
  <c r="D102" i="4"/>
  <c r="D45" i="4"/>
  <c r="E38" i="4" s="1"/>
  <c r="D101" i="3"/>
  <c r="G94" i="3" s="1"/>
  <c r="D97" i="3"/>
  <c r="D98" i="3" s="1"/>
  <c r="D45" i="3"/>
  <c r="E39" i="3" s="1"/>
  <c r="E41" i="3"/>
  <c r="G91" i="3"/>
  <c r="D50" i="2"/>
  <c r="B49" i="2"/>
  <c r="D42" i="2"/>
  <c r="D38" i="2"/>
  <c r="B57" i="5"/>
  <c r="B57" i="4"/>
  <c r="B69" i="4" s="1"/>
  <c r="B57" i="3"/>
  <c r="B69" i="3" s="1"/>
  <c r="B69" i="5"/>
  <c r="D98" i="5"/>
  <c r="D24" i="2"/>
  <c r="D28" i="2"/>
  <c r="D32" i="2"/>
  <c r="D36" i="2"/>
  <c r="D41" i="2"/>
  <c r="C49" i="2"/>
  <c r="F44" i="3"/>
  <c r="F45" i="3" s="1"/>
  <c r="G40" i="3" s="1"/>
  <c r="D49" i="3"/>
  <c r="D49" i="4"/>
  <c r="D98" i="4"/>
  <c r="E94" i="4" s="1"/>
  <c r="F98" i="5"/>
  <c r="G94" i="5" s="1"/>
  <c r="D25" i="2"/>
  <c r="D29" i="2"/>
  <c r="D33" i="2"/>
  <c r="D37" i="2"/>
  <c r="D43" i="2"/>
  <c r="D49" i="2"/>
  <c r="F98" i="4"/>
  <c r="F44" i="4"/>
  <c r="F45" i="4" s="1"/>
  <c r="G40" i="4" s="1"/>
  <c r="F44" i="5"/>
  <c r="F45" i="5" s="1"/>
  <c r="E41" i="5"/>
  <c r="D46" i="3" l="1"/>
  <c r="G92" i="4"/>
  <c r="E91" i="4"/>
  <c r="E40" i="3"/>
  <c r="E92" i="5"/>
  <c r="E38" i="5"/>
  <c r="E40" i="5"/>
  <c r="E39" i="5"/>
  <c r="G93" i="4"/>
  <c r="G94" i="4"/>
  <c r="E41" i="4"/>
  <c r="D46" i="4"/>
  <c r="E39" i="4"/>
  <c r="E40" i="4"/>
  <c r="D102" i="3"/>
  <c r="G92" i="3"/>
  <c r="G93" i="3"/>
  <c r="D99" i="3"/>
  <c r="E91" i="3"/>
  <c r="E92" i="3"/>
  <c r="E93" i="3"/>
  <c r="E94" i="3"/>
  <c r="E38" i="3"/>
  <c r="G41" i="5"/>
  <c r="F46" i="5"/>
  <c r="G91" i="5"/>
  <c r="F99" i="5"/>
  <c r="G40" i="5"/>
  <c r="F46" i="4"/>
  <c r="G41" i="4"/>
  <c r="G39" i="4"/>
  <c r="F46" i="3"/>
  <c r="G41" i="3"/>
  <c r="G39" i="3"/>
  <c r="E94" i="5"/>
  <c r="G91" i="4"/>
  <c r="F99" i="4"/>
  <c r="G38" i="3"/>
  <c r="E92" i="4"/>
  <c r="G39" i="5"/>
  <c r="G92" i="5"/>
  <c r="G38" i="4"/>
  <c r="D99" i="5"/>
  <c r="E93" i="5"/>
  <c r="G38" i="5"/>
  <c r="E91" i="5"/>
  <c r="D99" i="4"/>
  <c r="E93" i="4"/>
  <c r="G93" i="5"/>
  <c r="G95" i="3" l="1"/>
  <c r="E42" i="3"/>
  <c r="D52" i="3"/>
  <c r="G95" i="5"/>
  <c r="D50" i="5"/>
  <c r="G71" i="5" s="1"/>
  <c r="H71" i="5" s="1"/>
  <c r="E42" i="5"/>
  <c r="G42" i="5"/>
  <c r="G95" i="4"/>
  <c r="E95" i="4"/>
  <c r="E42" i="4"/>
  <c r="G42" i="4"/>
  <c r="D50" i="4"/>
  <c r="G68" i="4" s="1"/>
  <c r="H68" i="4" s="1"/>
  <c r="D52" i="4"/>
  <c r="D103" i="4"/>
  <c r="E113" i="4" s="1"/>
  <c r="F113" i="4" s="1"/>
  <c r="E95" i="3"/>
  <c r="D105" i="3"/>
  <c r="D103" i="3"/>
  <c r="E110" i="3" s="1"/>
  <c r="F110" i="3" s="1"/>
  <c r="D50" i="3"/>
  <c r="G68" i="3" s="1"/>
  <c r="H68" i="3" s="1"/>
  <c r="G42" i="3"/>
  <c r="E95" i="5"/>
  <c r="D105" i="5"/>
  <c r="D103" i="5"/>
  <c r="D105" i="4"/>
  <c r="D52" i="5"/>
  <c r="G65" i="5" l="1"/>
  <c r="H65" i="5" s="1"/>
  <c r="G62" i="3"/>
  <c r="H62" i="3" s="1"/>
  <c r="G63" i="3"/>
  <c r="H63" i="3" s="1"/>
  <c r="G71" i="3"/>
  <c r="H71" i="3" s="1"/>
  <c r="G70" i="5"/>
  <c r="H70" i="5" s="1"/>
  <c r="G66" i="5"/>
  <c r="H66" i="5" s="1"/>
  <c r="G64" i="5"/>
  <c r="H64" i="5" s="1"/>
  <c r="D51" i="5"/>
  <c r="G69" i="5"/>
  <c r="H69" i="5" s="1"/>
  <c r="G61" i="5"/>
  <c r="H61" i="5" s="1"/>
  <c r="G63" i="5"/>
  <c r="H63" i="5" s="1"/>
  <c r="G60" i="5"/>
  <c r="H60" i="5" s="1"/>
  <c r="G68" i="5"/>
  <c r="H68" i="5" s="1"/>
  <c r="G67" i="5"/>
  <c r="H67" i="5" s="1"/>
  <c r="G62" i="5"/>
  <c r="H62" i="5" s="1"/>
  <c r="D104" i="4"/>
  <c r="E108" i="4"/>
  <c r="F108" i="4" s="1"/>
  <c r="D51" i="4"/>
  <c r="G66" i="4"/>
  <c r="H66" i="4" s="1"/>
  <c r="G69" i="4"/>
  <c r="H69" i="4" s="1"/>
  <c r="G67" i="4"/>
  <c r="H67" i="4" s="1"/>
  <c r="G63" i="4"/>
  <c r="H63" i="4" s="1"/>
  <c r="G60" i="4"/>
  <c r="H60" i="4" s="1"/>
  <c r="G71" i="4"/>
  <c r="H71" i="4" s="1"/>
  <c r="G65" i="4"/>
  <c r="H65" i="4" s="1"/>
  <c r="G62" i="4"/>
  <c r="H62" i="4" s="1"/>
  <c r="E109" i="4"/>
  <c r="F109" i="4" s="1"/>
  <c r="E110" i="4"/>
  <c r="F110" i="4" s="1"/>
  <c r="E111" i="4"/>
  <c r="F111" i="4" s="1"/>
  <c r="E112" i="4"/>
  <c r="F112" i="4" s="1"/>
  <c r="G61" i="4"/>
  <c r="H61" i="4" s="1"/>
  <c r="G70" i="4"/>
  <c r="H70" i="4" s="1"/>
  <c r="G64" i="4"/>
  <c r="H64" i="4" s="1"/>
  <c r="D104" i="3"/>
  <c r="E109" i="3"/>
  <c r="F109" i="3" s="1"/>
  <c r="E111" i="3"/>
  <c r="F111" i="3" s="1"/>
  <c r="E112" i="3"/>
  <c r="F112" i="3" s="1"/>
  <c r="E113" i="3"/>
  <c r="F113" i="3" s="1"/>
  <c r="E108" i="3"/>
  <c r="F108" i="3" s="1"/>
  <c r="G67" i="3"/>
  <c r="H67" i="3" s="1"/>
  <c r="G66" i="3"/>
  <c r="H66" i="3" s="1"/>
  <c r="G70" i="3"/>
  <c r="H70" i="3" s="1"/>
  <c r="G64" i="3"/>
  <c r="H64" i="3" s="1"/>
  <c r="G61" i="3"/>
  <c r="H61" i="3" s="1"/>
  <c r="D51" i="3"/>
  <c r="G69" i="3"/>
  <c r="H69" i="3" s="1"/>
  <c r="G60" i="3"/>
  <c r="H60" i="3" s="1"/>
  <c r="G65" i="3"/>
  <c r="H65" i="3" s="1"/>
  <c r="E112" i="5"/>
  <c r="F112" i="5" s="1"/>
  <c r="E110" i="5"/>
  <c r="F110" i="5" s="1"/>
  <c r="E108" i="5"/>
  <c r="E113" i="5"/>
  <c r="F113" i="5" s="1"/>
  <c r="E111" i="5"/>
  <c r="F111" i="5" s="1"/>
  <c r="E109" i="5"/>
  <c r="F109" i="5" s="1"/>
  <c r="D104" i="5"/>
  <c r="G72" i="5" l="1"/>
  <c r="G73" i="5" s="1"/>
  <c r="G74" i="5"/>
  <c r="E115" i="4"/>
  <c r="E116" i="4" s="1"/>
  <c r="G72" i="4"/>
  <c r="G73" i="4" s="1"/>
  <c r="G74" i="4"/>
  <c r="E117" i="4"/>
  <c r="E117" i="3"/>
  <c r="E115" i="3"/>
  <c r="E116" i="3" s="1"/>
  <c r="G72" i="3"/>
  <c r="G73" i="3" s="1"/>
  <c r="G74" i="3"/>
  <c r="E115" i="5"/>
  <c r="E116" i="5" s="1"/>
  <c r="E117" i="5"/>
  <c r="F108" i="5"/>
  <c r="H74" i="5"/>
  <c r="H72" i="5"/>
  <c r="F117" i="4"/>
  <c r="F115" i="4"/>
  <c r="H74" i="3"/>
  <c r="H72" i="3"/>
  <c r="H74" i="4"/>
  <c r="H72" i="4"/>
  <c r="F117" i="3"/>
  <c r="F115" i="3"/>
  <c r="G76" i="4" l="1"/>
  <c r="H73" i="4"/>
  <c r="G120" i="4"/>
  <c r="F116" i="4"/>
  <c r="F117" i="5"/>
  <c r="F115" i="5"/>
  <c r="G120" i="3"/>
  <c r="F116" i="3"/>
  <c r="G76" i="3"/>
  <c r="H73" i="3"/>
  <c r="G76" i="5"/>
  <c r="H73" i="5"/>
  <c r="G120" i="5" l="1"/>
  <c r="F116" i="5"/>
</calcChain>
</file>

<file path=xl/sharedStrings.xml><?xml version="1.0" encoding="utf-8"?>
<sst xmlns="http://schemas.openxmlformats.org/spreadsheetml/2006/main" count="643" uniqueCount="134">
  <si>
    <t>HPLC System Suitability Report</t>
  </si>
  <si>
    <t>Analysis Data</t>
  </si>
  <si>
    <t>Assay</t>
  </si>
  <si>
    <t>Sample(s)</t>
  </si>
  <si>
    <t>Reference Substance:</t>
  </si>
  <si>
    <t>RIFAMPICIN 60MG, ISONIAZID 30MG, PYRAZINAMIDE 150MG.</t>
  </si>
  <si>
    <t>% age Purity:</t>
  </si>
  <si>
    <t>NDQD2016061100</t>
  </si>
  <si>
    <t>Weight (mg):</t>
  </si>
  <si>
    <t xml:space="preserve">Rifampicin, Isoniazid, Pyrazinamide 
</t>
  </si>
  <si>
    <t>Standard Conc (mg/mL):</t>
  </si>
  <si>
    <t xml:space="preserve">Rifampicin 60mg, Isoniazid 30mg, Pyrazinamide 150mg 
</t>
  </si>
  <si>
    <t>2016-06-09 15:50:53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</si>
  <si>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</si>
  <si>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</si>
  <si>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</si>
  <si>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</si>
  <si>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</si>
  <si>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</si>
  <si>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</si>
  <si>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</si>
  <si>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</si>
  <si>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</si>
  <si>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</si>
  <si>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</si>
  <si>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</si>
  <si>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</si>
  <si>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</si>
  <si>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</si>
  <si>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</si>
  <si>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</si>
  <si>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</si>
  <si>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</si>
  <si>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</si>
  <si>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</si>
  <si>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</si>
  <si>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</si>
  <si>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</si>
  <si>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</si>
  <si>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</si>
  <si>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</si>
  <si>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</si>
  <si>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</si>
  <si>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</si>
  <si>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</si>
  <si>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</si>
  <si>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</si>
  <si>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</si>
  <si>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</si>
  <si>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</si>
  <si>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</si>
  <si>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</si>
  <si>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</si>
  <si>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</si>
  <si>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</si>
  <si>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</si>
  <si>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</si>
  <si>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</si>
  <si>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</si>
  <si>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</si>
  <si>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</si>
  <si>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</si>
  <si>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</si>
  <si>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</si>
  <si>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</si>
  <si>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</si>
  <si>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</si>
  <si>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</si>
  <si>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</si>
  <si>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</si>
  <si>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</si>
  <si>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</si>
  <si>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</si>
  <si>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</si>
  <si>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</si>
  <si>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</si>
  <si>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</si>
  <si>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</si>
  <si>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</si>
  <si>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</si>
  <si>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</si>
  <si>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</si>
  <si>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</si>
  <si>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</si>
  <si>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</si>
  <si>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</si>
  <si>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</si>
  <si>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</si>
  <si>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</si>
  <si>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</si>
  <si>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</si>
  <si>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</si>
  <si>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</si>
  <si>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</si>
  <si>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</si>
  <si>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</si>
  <si>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</si>
  <si>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</si>
  <si>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</si>
  <si>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</si>
  <si>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</si>
  <si>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</si>
  <si>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</si>
  <si>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</si>
  <si>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</si>
  <si>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</si>
  <si>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</si>
  <si>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</si>
  <si>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</si>
  <si>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</si>
  <si>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</si>
  <si>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</si>
  <si>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</si>
  <si>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</si>
  <si>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</si>
  <si>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</si>
  <si>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</si>
  <si>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</si>
  <si>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</si>
  <si>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</si>
  <si>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</si>
  <si>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</si>
  <si>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</si>
  <si>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</si>
  <si>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</si>
  <si>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 xml:space="preserve"> ISONIAZID 30MG</t>
  </si>
  <si>
    <t>Rifampicin</t>
  </si>
  <si>
    <t>R5-1</t>
  </si>
  <si>
    <t>Isoniazid</t>
  </si>
  <si>
    <t>I8-2</t>
  </si>
  <si>
    <t>Pyrazinamide</t>
  </si>
  <si>
    <t>P19-1</t>
  </si>
  <si>
    <t xml:space="preserve">PYRAZINAMIDE </t>
  </si>
  <si>
    <t>RIFAMPICIN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</si>
</sst>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69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2" fontId="5" fillId="2" borderId="0" xfId="0" applyNumberFormat="1" applyFont="1" applyFill="1" applyAlignment="1">
      <alignment horizontal="center" wrapText="1"/>
    </xf>
    <xf numFmtId="22" fontId="6" fillId="2" borderId="0" xfId="0" applyNumberFormat="1" applyFont="1" applyFill="1"/>
    <xf numFmtId="168" fontId="14" fillId="3" borderId="0" xfId="1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1" workbookViewId="0">
      <selection activeCell="E21" sqref="E2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646" t="s">
        <v>0</v>
      </c>
      <c r="B15" s="646"/>
      <c r="C15" s="646"/>
      <c r="D15" s="646"/>
      <c r="E15" s="64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7</v>
      </c>
      <c r="D17" s="9"/>
      <c r="E17" s="10"/>
    </row>
    <row r="18" spans="1:6" ht="16.5" customHeight="1" x14ac:dyDescent="0.3">
      <c r="A18" s="11" t="s">
        <v>4</v>
      </c>
      <c r="B18" s="8" t="s">
        <v>125</v>
      </c>
      <c r="C18" s="10"/>
      <c r="D18" s="10"/>
      <c r="E18" s="10"/>
    </row>
    <row r="19" spans="1:6" ht="16.5" customHeight="1" x14ac:dyDescent="0.3">
      <c r="A19" s="11" t="s">
        <v>6</v>
      </c>
      <c r="B19" s="12">
        <v>98.5</v>
      </c>
      <c r="C19" s="10"/>
      <c r="D19" s="10"/>
      <c r="E19" s="10"/>
    </row>
    <row r="20" spans="1:6" ht="16.5" customHeight="1" x14ac:dyDescent="0.3">
      <c r="A20" s="7" t="s">
        <v>8</v>
      </c>
      <c r="B20" s="643">
        <v>8</v>
      </c>
      <c r="C20" s="10"/>
      <c r="D20" s="10"/>
      <c r="E20" s="10"/>
    </row>
    <row r="21" spans="1:6" ht="16.5" customHeight="1" x14ac:dyDescent="0.3">
      <c r="A21" s="7" t="s">
        <v>10</v>
      </c>
      <c r="B21" s="13">
        <v>0.08</v>
      </c>
      <c r="C21" s="10"/>
      <c r="D21" s="10"/>
      <c r="E21" s="10"/>
    </row>
    <row r="22" spans="1:6" ht="15.75" customHeight="1" x14ac:dyDescent="0.25">
      <c r="A22" s="10"/>
      <c r="B22" s="644">
        <v>42531.66033564815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7666869</v>
      </c>
      <c r="C24" s="18">
        <v>13465.5</v>
      </c>
      <c r="D24" s="19">
        <v>1.1000000000000001</v>
      </c>
      <c r="E24" s="20">
        <v>5</v>
      </c>
    </row>
    <row r="25" spans="1:6" ht="16.5" customHeight="1" x14ac:dyDescent="0.3">
      <c r="A25" s="17">
        <v>2</v>
      </c>
      <c r="B25" s="18">
        <v>7685770</v>
      </c>
      <c r="C25" s="18">
        <v>12589.1</v>
      </c>
      <c r="D25" s="19">
        <v>1.2</v>
      </c>
      <c r="E25" s="19">
        <v>4.9000000000000004</v>
      </c>
    </row>
    <row r="26" spans="1:6" ht="16.5" customHeight="1" x14ac:dyDescent="0.3">
      <c r="A26" s="17">
        <v>3</v>
      </c>
      <c r="B26" s="18">
        <v>7690429</v>
      </c>
      <c r="C26" s="18">
        <v>12803.9</v>
      </c>
      <c r="D26" s="19">
        <v>1.1000000000000001</v>
      </c>
      <c r="E26" s="19">
        <v>4.9000000000000004</v>
      </c>
    </row>
    <row r="27" spans="1:6" ht="16.5" customHeight="1" x14ac:dyDescent="0.3">
      <c r="A27" s="17">
        <v>4</v>
      </c>
      <c r="B27" s="18">
        <v>7689427</v>
      </c>
      <c r="C27" s="18">
        <v>12731.6</v>
      </c>
      <c r="D27" s="19">
        <v>1.2</v>
      </c>
      <c r="E27" s="19">
        <v>4.9000000000000004</v>
      </c>
    </row>
    <row r="28" spans="1:6" ht="16.5" customHeight="1" x14ac:dyDescent="0.3">
      <c r="A28" s="17">
        <v>5</v>
      </c>
      <c r="B28" s="18">
        <v>7689148</v>
      </c>
      <c r="C28" s="18">
        <v>12737.3</v>
      </c>
      <c r="D28" s="19">
        <v>1.2</v>
      </c>
      <c r="E28" s="19">
        <v>4.9000000000000004</v>
      </c>
    </row>
    <row r="29" spans="1:6" ht="16.5" customHeight="1" x14ac:dyDescent="0.3">
      <c r="A29" s="17">
        <v>6</v>
      </c>
      <c r="B29" s="21">
        <v>7687659</v>
      </c>
      <c r="C29" s="21">
        <v>12742</v>
      </c>
      <c r="D29" s="22">
        <v>1.2</v>
      </c>
      <c r="E29" s="22">
        <v>4.9000000000000004</v>
      </c>
    </row>
    <row r="30" spans="1:6" ht="16.5" customHeight="1" x14ac:dyDescent="0.3">
      <c r="A30" s="23" t="s">
        <v>18</v>
      </c>
      <c r="B30" s="24">
        <f>AVERAGE(B24:B29)</f>
        <v>7684883.666666667</v>
      </c>
      <c r="C30" s="25">
        <f>AVERAGE(C24:C29)</f>
        <v>12844.9</v>
      </c>
      <c r="D30" s="26">
        <f>AVERAGE(D24:D29)</f>
        <v>1.1666666666666667</v>
      </c>
      <c r="E30" s="26">
        <f>AVERAGE(E24:E29)</f>
        <v>4.916666666666667</v>
      </c>
    </row>
    <row r="31" spans="1:6" ht="16.5" customHeight="1" x14ac:dyDescent="0.3">
      <c r="A31" s="27" t="s">
        <v>19</v>
      </c>
      <c r="B31" s="28">
        <f>(STDEV(B24:B29)/B30)</f>
        <v>1.1676455647052846E-3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7666869</v>
      </c>
      <c r="C45" s="18">
        <v>13465.5</v>
      </c>
      <c r="D45" s="19">
        <v>1.1000000000000001</v>
      </c>
      <c r="E45" s="20">
        <v>5</v>
      </c>
    </row>
    <row r="46" spans="1:6" ht="16.5" customHeight="1" x14ac:dyDescent="0.3">
      <c r="A46" s="17">
        <v>2</v>
      </c>
      <c r="B46" s="18">
        <v>7685770</v>
      </c>
      <c r="C46" s="18">
        <v>12589.1</v>
      </c>
      <c r="D46" s="19">
        <v>1.2</v>
      </c>
      <c r="E46" s="19">
        <v>4.9000000000000004</v>
      </c>
    </row>
    <row r="47" spans="1:6" ht="16.5" customHeight="1" x14ac:dyDescent="0.3">
      <c r="A47" s="17">
        <v>3</v>
      </c>
      <c r="B47" s="18">
        <v>7690429</v>
      </c>
      <c r="C47" s="18">
        <v>12803.9</v>
      </c>
      <c r="D47" s="19">
        <v>1.1000000000000001</v>
      </c>
      <c r="E47" s="19">
        <v>4.9000000000000004</v>
      </c>
    </row>
    <row r="48" spans="1:6" ht="16.5" customHeight="1" x14ac:dyDescent="0.3">
      <c r="A48" s="17">
        <v>4</v>
      </c>
      <c r="B48" s="18">
        <v>7689427</v>
      </c>
      <c r="C48" s="18">
        <v>12731.6</v>
      </c>
      <c r="D48" s="19">
        <v>1.2</v>
      </c>
      <c r="E48" s="19">
        <v>4.9000000000000004</v>
      </c>
    </row>
    <row r="49" spans="1:7" ht="16.5" customHeight="1" x14ac:dyDescent="0.3">
      <c r="A49" s="17">
        <v>5</v>
      </c>
      <c r="B49" s="18">
        <v>7689148</v>
      </c>
      <c r="C49" s="18">
        <v>12737.3</v>
      </c>
      <c r="D49" s="19">
        <v>1.2</v>
      </c>
      <c r="E49" s="19">
        <v>4.9000000000000004</v>
      </c>
    </row>
    <row r="50" spans="1:7" ht="16.5" customHeight="1" x14ac:dyDescent="0.3">
      <c r="A50" s="17">
        <v>6</v>
      </c>
      <c r="B50" s="21">
        <v>7687659</v>
      </c>
      <c r="C50" s="21">
        <v>12742</v>
      </c>
      <c r="D50" s="22">
        <v>1.2</v>
      </c>
      <c r="E50" s="22">
        <v>4.9000000000000004</v>
      </c>
    </row>
    <row r="51" spans="1:7" ht="16.5" customHeight="1" x14ac:dyDescent="0.3">
      <c r="A51" s="23" t="s">
        <v>18</v>
      </c>
      <c r="B51" s="24">
        <f>AVERAGE(B45:B50)</f>
        <v>7684883.666666667</v>
      </c>
      <c r="C51" s="25">
        <f>AVERAGE(C45:C50)</f>
        <v>12844.9</v>
      </c>
      <c r="D51" s="26">
        <f>AVERAGE(D45:D50)</f>
        <v>1.1666666666666667</v>
      </c>
      <c r="E51" s="26">
        <f>AVERAGE(E45:E50)</f>
        <v>4.916666666666667</v>
      </c>
    </row>
    <row r="52" spans="1:7" ht="16.5" customHeight="1" x14ac:dyDescent="0.3">
      <c r="A52" s="27" t="s">
        <v>19</v>
      </c>
      <c r="B52" s="28">
        <f>(STDEV(B45:B50)/B51)</f>
        <v>1.1676455647052846E-3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647" t="s">
        <v>26</v>
      </c>
      <c r="C59" s="647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9" workbookViewId="0">
      <selection activeCell="C42" sqref="C42"/>
    </sheetView>
  </sheetViews>
  <sheetFormatPr defaultRowHeight="13.5" x14ac:dyDescent="0.25"/>
  <cols>
    <col min="1" max="1" width="27.5703125" style="589" customWidth="1"/>
    <col min="2" max="2" width="20.42578125" style="589" customWidth="1"/>
    <col min="3" max="3" width="31.85546875" style="589" customWidth="1"/>
    <col min="4" max="4" width="25.85546875" style="589" customWidth="1"/>
    <col min="5" max="5" width="25.7109375" style="589" customWidth="1"/>
    <col min="6" max="6" width="23.140625" style="589" customWidth="1"/>
    <col min="7" max="7" width="28.42578125" style="589" customWidth="1"/>
    <col min="8" max="8" width="21.5703125" style="589" customWidth="1"/>
    <col min="9" max="9" width="9.140625" style="589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46" t="s">
        <v>0</v>
      </c>
      <c r="B15" s="646"/>
      <c r="C15" s="646"/>
      <c r="D15" s="646"/>
      <c r="E15" s="646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7</v>
      </c>
      <c r="D17" s="9"/>
      <c r="E17" s="72"/>
    </row>
    <row r="18" spans="1:5" ht="16.5" customHeight="1" x14ac:dyDescent="0.3">
      <c r="A18" s="75" t="s">
        <v>4</v>
      </c>
      <c r="B18" s="8" t="s">
        <v>132</v>
      </c>
      <c r="C18" s="72"/>
      <c r="D18" s="72"/>
      <c r="E18" s="72"/>
    </row>
    <row r="19" spans="1:5" ht="16.5" customHeight="1" x14ac:dyDescent="0.3">
      <c r="A19" s="75" t="s">
        <v>6</v>
      </c>
      <c r="B19" s="12">
        <v>98.5</v>
      </c>
      <c r="C19" s="72"/>
      <c r="D19" s="72"/>
      <c r="E19" s="72"/>
    </row>
    <row r="20" spans="1:5" ht="16.5" customHeight="1" x14ac:dyDescent="0.3">
      <c r="A20" s="8" t="s">
        <v>8</v>
      </c>
      <c r="B20" s="12">
        <v>43</v>
      </c>
      <c r="C20" s="72"/>
      <c r="D20" s="72"/>
      <c r="E20" s="72"/>
    </row>
    <row r="21" spans="1:5" ht="16.5" customHeight="1" x14ac:dyDescent="0.3">
      <c r="A21" s="8" t="s">
        <v>10</v>
      </c>
      <c r="B21" s="13">
        <v>0.43</v>
      </c>
      <c r="C21" s="72"/>
      <c r="D21" s="72"/>
      <c r="E21" s="72"/>
    </row>
    <row r="22" spans="1:5" ht="15.75" customHeight="1" x14ac:dyDescent="0.25">
      <c r="A22" s="72"/>
      <c r="B22" s="644">
        <v>42531.66033564815</v>
      </c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21689687</v>
      </c>
      <c r="C24" s="18">
        <v>12644.9</v>
      </c>
      <c r="D24" s="19">
        <v>1.2</v>
      </c>
      <c r="E24" s="20">
        <v>5.7</v>
      </c>
    </row>
    <row r="25" spans="1:5" ht="16.5" customHeight="1" x14ac:dyDescent="0.3">
      <c r="A25" s="17">
        <v>2</v>
      </c>
      <c r="B25" s="18">
        <v>21668472</v>
      </c>
      <c r="C25" s="18">
        <v>12367.1</v>
      </c>
      <c r="D25" s="19">
        <v>1.2</v>
      </c>
      <c r="E25" s="19">
        <v>5.7</v>
      </c>
    </row>
    <row r="26" spans="1:5" ht="16.5" customHeight="1" x14ac:dyDescent="0.3">
      <c r="A26" s="17">
        <v>3</v>
      </c>
      <c r="B26" s="18">
        <v>21674990</v>
      </c>
      <c r="C26" s="18">
        <v>12242.6</v>
      </c>
      <c r="D26" s="19">
        <v>1.2</v>
      </c>
      <c r="E26" s="19">
        <v>5.7</v>
      </c>
    </row>
    <row r="27" spans="1:5" ht="16.5" customHeight="1" x14ac:dyDescent="0.3">
      <c r="A27" s="17">
        <v>4</v>
      </c>
      <c r="B27" s="18">
        <v>21674317</v>
      </c>
      <c r="C27" s="18">
        <v>12234.7</v>
      </c>
      <c r="D27" s="19">
        <v>1.2</v>
      </c>
      <c r="E27" s="19">
        <v>5.7</v>
      </c>
    </row>
    <row r="28" spans="1:5" ht="16.5" customHeight="1" x14ac:dyDescent="0.3">
      <c r="A28" s="17">
        <v>5</v>
      </c>
      <c r="B28" s="18">
        <v>21665103</v>
      </c>
      <c r="C28" s="18">
        <v>12232.5</v>
      </c>
      <c r="D28" s="19">
        <v>1.2</v>
      </c>
      <c r="E28" s="19">
        <v>5.7</v>
      </c>
    </row>
    <row r="29" spans="1:5" ht="16.5" customHeight="1" x14ac:dyDescent="0.3">
      <c r="A29" s="17">
        <v>6</v>
      </c>
      <c r="B29" s="21">
        <v>21653799</v>
      </c>
      <c r="C29" s="21">
        <v>12236.6</v>
      </c>
      <c r="D29" s="22">
        <v>1.2</v>
      </c>
      <c r="E29" s="22">
        <v>5.7</v>
      </c>
    </row>
    <row r="30" spans="1:5" ht="16.5" customHeight="1" x14ac:dyDescent="0.3">
      <c r="A30" s="23" t="s">
        <v>18</v>
      </c>
      <c r="B30" s="24">
        <f>AVERAGE(B24:B29)</f>
        <v>21671061.333333332</v>
      </c>
      <c r="C30" s="25">
        <f>AVERAGE(C24:C29)</f>
        <v>12326.400000000001</v>
      </c>
      <c r="D30" s="26">
        <f>AVERAGE(D24:D29)</f>
        <v>1.2</v>
      </c>
      <c r="E30" s="26">
        <f>AVERAGE(E24:E29)</f>
        <v>5.7</v>
      </c>
    </row>
    <row r="31" spans="1:5" ht="16.5" customHeight="1" x14ac:dyDescent="0.3">
      <c r="A31" s="27" t="s">
        <v>19</v>
      </c>
      <c r="B31" s="28">
        <f>(STDEV(B24:B29)/B30)</f>
        <v>5.5109106063154533E-4</v>
      </c>
      <c r="C31" s="29"/>
      <c r="D31" s="29"/>
      <c r="E31" s="30"/>
    </row>
    <row r="32" spans="1:5" s="589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589" customFormat="1" ht="15.75" customHeight="1" x14ac:dyDescent="0.25">
      <c r="A33" s="72"/>
      <c r="B33" s="72"/>
      <c r="C33" s="72"/>
      <c r="D33" s="72"/>
      <c r="E33" s="72"/>
    </row>
    <row r="34" spans="1:5" s="589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 t="s">
        <v>132</v>
      </c>
      <c r="C39" s="72"/>
      <c r="D39" s="72"/>
      <c r="E39" s="72"/>
    </row>
    <row r="40" spans="1:5" ht="16.5" customHeight="1" x14ac:dyDescent="0.3">
      <c r="A40" s="75" t="s">
        <v>6</v>
      </c>
      <c r="B40" s="12">
        <v>98.5</v>
      </c>
      <c r="C40" s="72"/>
      <c r="D40" s="72"/>
      <c r="E40" s="72"/>
    </row>
    <row r="41" spans="1:5" ht="16.5" customHeight="1" x14ac:dyDescent="0.3">
      <c r="A41" s="8" t="s">
        <v>8</v>
      </c>
      <c r="B41" s="12">
        <v>43</v>
      </c>
      <c r="C41" s="72"/>
      <c r="D41" s="72"/>
      <c r="E41" s="72"/>
    </row>
    <row r="42" spans="1:5" ht="16.5" customHeight="1" x14ac:dyDescent="0.3">
      <c r="A42" s="8" t="s">
        <v>10</v>
      </c>
      <c r="B42" s="13">
        <v>0.43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21689687</v>
      </c>
      <c r="C45" s="18">
        <v>12644.9</v>
      </c>
      <c r="D45" s="19">
        <v>1.2</v>
      </c>
      <c r="E45" s="20">
        <v>5.7</v>
      </c>
    </row>
    <row r="46" spans="1:5" ht="16.5" customHeight="1" x14ac:dyDescent="0.3">
      <c r="A46" s="17">
        <v>2</v>
      </c>
      <c r="B46" s="18">
        <v>21668472</v>
      </c>
      <c r="C46" s="18">
        <v>12367.1</v>
      </c>
      <c r="D46" s="19">
        <v>1.2</v>
      </c>
      <c r="E46" s="19">
        <v>5.7</v>
      </c>
    </row>
    <row r="47" spans="1:5" ht="16.5" customHeight="1" x14ac:dyDescent="0.3">
      <c r="A47" s="17">
        <v>3</v>
      </c>
      <c r="B47" s="18">
        <v>21674990</v>
      </c>
      <c r="C47" s="18">
        <v>12242.6</v>
      </c>
      <c r="D47" s="19">
        <v>1.2</v>
      </c>
      <c r="E47" s="19">
        <v>5.7</v>
      </c>
    </row>
    <row r="48" spans="1:5" ht="16.5" customHeight="1" x14ac:dyDescent="0.3">
      <c r="A48" s="17">
        <v>4</v>
      </c>
      <c r="B48" s="18">
        <v>21674317</v>
      </c>
      <c r="C48" s="18">
        <v>12234.7</v>
      </c>
      <c r="D48" s="19">
        <v>1.2</v>
      </c>
      <c r="E48" s="19">
        <v>5.7</v>
      </c>
    </row>
    <row r="49" spans="1:7" ht="16.5" customHeight="1" x14ac:dyDescent="0.3">
      <c r="A49" s="17">
        <v>5</v>
      </c>
      <c r="B49" s="18">
        <v>21665103</v>
      </c>
      <c r="C49" s="18">
        <v>12232.5</v>
      </c>
      <c r="D49" s="19">
        <v>1.2</v>
      </c>
      <c r="E49" s="19">
        <v>5.7</v>
      </c>
    </row>
    <row r="50" spans="1:7" ht="16.5" customHeight="1" x14ac:dyDescent="0.3">
      <c r="A50" s="17">
        <v>6</v>
      </c>
      <c r="B50" s="21">
        <v>21653799</v>
      </c>
      <c r="C50" s="21">
        <v>12236.6</v>
      </c>
      <c r="D50" s="22">
        <v>1.2</v>
      </c>
      <c r="E50" s="22">
        <v>5.7</v>
      </c>
    </row>
    <row r="51" spans="1:7" ht="16.5" customHeight="1" x14ac:dyDescent="0.3">
      <c r="A51" s="23" t="s">
        <v>18</v>
      </c>
      <c r="B51" s="24">
        <f>AVERAGE(B45:B50)</f>
        <v>21671061.333333332</v>
      </c>
      <c r="C51" s="25">
        <f>AVERAGE(C45:C50)</f>
        <v>12326.400000000001</v>
      </c>
      <c r="D51" s="26">
        <f>AVERAGE(D45:D50)</f>
        <v>1.2</v>
      </c>
      <c r="E51" s="26">
        <f>AVERAGE(E45:E50)</f>
        <v>5.7</v>
      </c>
    </row>
    <row r="52" spans="1:7" ht="16.5" customHeight="1" x14ac:dyDescent="0.3">
      <c r="A52" s="27" t="s">
        <v>19</v>
      </c>
      <c r="B52" s="28">
        <f>(STDEV(B45:B50)/B51)</f>
        <v>5.5109106063154533E-4</v>
      </c>
      <c r="C52" s="29"/>
      <c r="D52" s="29"/>
      <c r="E52" s="30"/>
    </row>
    <row r="53" spans="1:7" s="589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589" customFormat="1" ht="15.75" customHeight="1" x14ac:dyDescent="0.25">
      <c r="A54" s="72"/>
      <c r="B54" s="72"/>
      <c r="C54" s="72"/>
      <c r="D54" s="72"/>
      <c r="E54" s="72"/>
    </row>
    <row r="55" spans="1:7" s="589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512"/>
      <c r="D58" s="43"/>
      <c r="F58" s="44"/>
      <c r="G58" s="44"/>
    </row>
    <row r="59" spans="1:7" ht="15" customHeight="1" x14ac:dyDescent="0.3">
      <c r="B59" s="647" t="s">
        <v>26</v>
      </c>
      <c r="C59" s="647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3" workbookViewId="0">
      <selection activeCell="C38" sqref="C38"/>
    </sheetView>
  </sheetViews>
  <sheetFormatPr defaultRowHeight="13.5" x14ac:dyDescent="0.25"/>
  <cols>
    <col min="1" max="1" width="27.5703125" style="589" customWidth="1"/>
    <col min="2" max="2" width="20.42578125" style="589" customWidth="1"/>
    <col min="3" max="3" width="31.85546875" style="589" customWidth="1"/>
    <col min="4" max="4" width="25.85546875" style="589" customWidth="1"/>
    <col min="5" max="5" width="25.7109375" style="589" customWidth="1"/>
    <col min="6" max="6" width="23.140625" style="589" customWidth="1"/>
    <col min="7" max="7" width="28.42578125" style="589" customWidth="1"/>
    <col min="8" max="8" width="21.5703125" style="589" customWidth="1"/>
    <col min="9" max="9" width="9.140625" style="589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46" t="s">
        <v>0</v>
      </c>
      <c r="B15" s="646"/>
      <c r="C15" s="646"/>
      <c r="D15" s="646"/>
      <c r="E15" s="646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7</v>
      </c>
      <c r="D17" s="9"/>
      <c r="E17" s="72"/>
    </row>
    <row r="18" spans="1:5" ht="16.5" customHeight="1" x14ac:dyDescent="0.3">
      <c r="A18" s="75" t="s">
        <v>4</v>
      </c>
      <c r="B18" s="8" t="s">
        <v>133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99.6</v>
      </c>
      <c r="C19" s="72"/>
      <c r="D19" s="72"/>
      <c r="E19" s="72"/>
    </row>
    <row r="20" spans="1:5" ht="16.5" customHeight="1" x14ac:dyDescent="0.3">
      <c r="A20" s="8" t="s">
        <v>8</v>
      </c>
      <c r="B20" s="12">
        <v>16</v>
      </c>
      <c r="C20" s="72"/>
      <c r="D20" s="72"/>
      <c r="E20" s="72"/>
    </row>
    <row r="21" spans="1:5" ht="16.5" customHeight="1" x14ac:dyDescent="0.3">
      <c r="A21" s="8" t="s">
        <v>10</v>
      </c>
      <c r="B21" s="13">
        <v>0.16</v>
      </c>
      <c r="C21" s="72"/>
      <c r="D21" s="72"/>
      <c r="E21" s="72"/>
    </row>
    <row r="22" spans="1:5" ht="15.75" customHeight="1" x14ac:dyDescent="0.25">
      <c r="A22" s="72"/>
      <c r="B22" s="644">
        <v>42531.66033564815</v>
      </c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7644767</v>
      </c>
      <c r="C24" s="18">
        <v>66024</v>
      </c>
      <c r="D24" s="19">
        <v>1.1000000000000001</v>
      </c>
      <c r="E24" s="20">
        <v>9.3000000000000007</v>
      </c>
    </row>
    <row r="25" spans="1:5" ht="16.5" customHeight="1" x14ac:dyDescent="0.3">
      <c r="A25" s="17">
        <v>2</v>
      </c>
      <c r="B25" s="18">
        <v>7589467</v>
      </c>
      <c r="C25" s="18">
        <v>66129.2</v>
      </c>
      <c r="D25" s="19">
        <v>1.1000000000000001</v>
      </c>
      <c r="E25" s="19">
        <v>9.3000000000000007</v>
      </c>
    </row>
    <row r="26" spans="1:5" ht="16.5" customHeight="1" x14ac:dyDescent="0.3">
      <c r="A26" s="17">
        <v>3</v>
      </c>
      <c r="B26" s="18">
        <v>7549143</v>
      </c>
      <c r="C26" s="18">
        <v>66240.399999999994</v>
      </c>
      <c r="D26" s="19">
        <v>1.1000000000000001</v>
      </c>
      <c r="E26" s="19">
        <v>9.3000000000000007</v>
      </c>
    </row>
    <row r="27" spans="1:5" ht="16.5" customHeight="1" x14ac:dyDescent="0.3">
      <c r="A27" s="17">
        <v>4</v>
      </c>
      <c r="B27" s="18">
        <v>7530658</v>
      </c>
      <c r="C27" s="18">
        <v>66473.899999999994</v>
      </c>
      <c r="D27" s="19">
        <v>1.1000000000000001</v>
      </c>
      <c r="E27" s="19">
        <v>9.3000000000000007</v>
      </c>
    </row>
    <row r="28" spans="1:5" ht="16.5" customHeight="1" x14ac:dyDescent="0.3">
      <c r="A28" s="17">
        <v>5</v>
      </c>
      <c r="B28" s="18">
        <v>7502031</v>
      </c>
      <c r="C28" s="18">
        <v>66455.399999999994</v>
      </c>
      <c r="D28" s="19">
        <v>1.1000000000000001</v>
      </c>
      <c r="E28" s="19">
        <v>9.3000000000000007</v>
      </c>
    </row>
    <row r="29" spans="1:5" ht="16.5" customHeight="1" x14ac:dyDescent="0.3">
      <c r="A29" s="17">
        <v>6</v>
      </c>
      <c r="B29" s="21">
        <v>7472903</v>
      </c>
      <c r="C29" s="21">
        <v>66769.52</v>
      </c>
      <c r="D29" s="22">
        <v>1.1000000000000001</v>
      </c>
      <c r="E29" s="22">
        <v>9.3000000000000007</v>
      </c>
    </row>
    <row r="30" spans="1:5" ht="16.5" customHeight="1" x14ac:dyDescent="0.3">
      <c r="A30" s="23" t="s">
        <v>18</v>
      </c>
      <c r="B30" s="24">
        <f>AVERAGE(B24:B29)</f>
        <v>7548161.5</v>
      </c>
      <c r="C30" s="25">
        <f>AVERAGE(C24:C29)</f>
        <v>66348.736666666679</v>
      </c>
      <c r="D30" s="26">
        <f>AVERAGE(D24:D29)</f>
        <v>1.0999999999999999</v>
      </c>
      <c r="E30" s="26">
        <f>AVERAGE(E24:E29)</f>
        <v>9.2999999999999989</v>
      </c>
    </row>
    <row r="31" spans="1:5" ht="16.5" customHeight="1" x14ac:dyDescent="0.3">
      <c r="A31" s="27" t="s">
        <v>19</v>
      </c>
      <c r="B31" s="28">
        <f>(STDEV(B24:B29)/B30)</f>
        <v>8.1963731574697524E-3</v>
      </c>
      <c r="C31" s="29"/>
      <c r="D31" s="29"/>
      <c r="E31" s="30"/>
    </row>
    <row r="32" spans="1:5" s="589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589" customFormat="1" ht="15.75" customHeight="1" x14ac:dyDescent="0.25">
      <c r="A33" s="72"/>
      <c r="B33" s="72"/>
      <c r="C33" s="72"/>
      <c r="D33" s="72"/>
      <c r="E33" s="72"/>
    </row>
    <row r="34" spans="1:5" s="589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 t="s">
        <v>133</v>
      </c>
      <c r="C39" s="72"/>
      <c r="D39" s="72"/>
      <c r="E39" s="72"/>
    </row>
    <row r="40" spans="1:5" ht="16.5" customHeight="1" x14ac:dyDescent="0.3">
      <c r="A40" s="75" t="s">
        <v>6</v>
      </c>
      <c r="B40" s="12">
        <v>99.6</v>
      </c>
      <c r="C40" s="72"/>
      <c r="D40" s="72"/>
      <c r="E40" s="72"/>
    </row>
    <row r="41" spans="1:5" ht="16.5" customHeight="1" x14ac:dyDescent="0.3">
      <c r="A41" s="8" t="s">
        <v>8</v>
      </c>
      <c r="B41" s="12">
        <v>16</v>
      </c>
      <c r="C41" s="72"/>
      <c r="D41" s="72"/>
      <c r="E41" s="72"/>
    </row>
    <row r="42" spans="1:5" ht="16.5" customHeight="1" x14ac:dyDescent="0.3">
      <c r="A42" s="8" t="s">
        <v>10</v>
      </c>
      <c r="B42" s="13">
        <v>0.16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7644767</v>
      </c>
      <c r="C45" s="18">
        <v>66024</v>
      </c>
      <c r="D45" s="19">
        <v>1.1000000000000001</v>
      </c>
      <c r="E45" s="20">
        <v>9.3000000000000007</v>
      </c>
    </row>
    <row r="46" spans="1:5" ht="16.5" customHeight="1" x14ac:dyDescent="0.3">
      <c r="A46" s="17">
        <v>2</v>
      </c>
      <c r="B46" s="18">
        <v>7589467</v>
      </c>
      <c r="C46" s="18">
        <v>66129.2</v>
      </c>
      <c r="D46" s="19">
        <v>1.1000000000000001</v>
      </c>
      <c r="E46" s="19">
        <v>9.3000000000000007</v>
      </c>
    </row>
    <row r="47" spans="1:5" ht="16.5" customHeight="1" x14ac:dyDescent="0.3">
      <c r="A47" s="17">
        <v>3</v>
      </c>
      <c r="B47" s="18">
        <v>7549143</v>
      </c>
      <c r="C47" s="18">
        <v>66240.399999999994</v>
      </c>
      <c r="D47" s="19">
        <v>1.1000000000000001</v>
      </c>
      <c r="E47" s="19">
        <v>9.3000000000000007</v>
      </c>
    </row>
    <row r="48" spans="1:5" ht="16.5" customHeight="1" x14ac:dyDescent="0.3">
      <c r="A48" s="17">
        <v>4</v>
      </c>
      <c r="B48" s="18">
        <v>7530658</v>
      </c>
      <c r="C48" s="18">
        <v>66473.899999999994</v>
      </c>
      <c r="D48" s="19">
        <v>1.1000000000000001</v>
      </c>
      <c r="E48" s="19">
        <v>9.3000000000000007</v>
      </c>
    </row>
    <row r="49" spans="1:7" ht="16.5" customHeight="1" x14ac:dyDescent="0.3">
      <c r="A49" s="17">
        <v>5</v>
      </c>
      <c r="B49" s="18">
        <v>7502031</v>
      </c>
      <c r="C49" s="18">
        <v>66455.399999999994</v>
      </c>
      <c r="D49" s="19">
        <v>1.1000000000000001</v>
      </c>
      <c r="E49" s="19">
        <v>9.3000000000000007</v>
      </c>
    </row>
    <row r="50" spans="1:7" ht="16.5" customHeight="1" x14ac:dyDescent="0.3">
      <c r="A50" s="17">
        <v>6</v>
      </c>
      <c r="B50" s="21">
        <v>7472903</v>
      </c>
      <c r="C50" s="21">
        <v>66769.52</v>
      </c>
      <c r="D50" s="22">
        <v>1.1000000000000001</v>
      </c>
      <c r="E50" s="22">
        <v>9.3000000000000007</v>
      </c>
    </row>
    <row r="51" spans="1:7" ht="16.5" customHeight="1" x14ac:dyDescent="0.3">
      <c r="A51" s="23" t="s">
        <v>18</v>
      </c>
      <c r="B51" s="24">
        <f>AVERAGE(B45:B50)</f>
        <v>7548161.5</v>
      </c>
      <c r="C51" s="25">
        <f>AVERAGE(C45:C50)</f>
        <v>66348.736666666679</v>
      </c>
      <c r="D51" s="26">
        <f>AVERAGE(D45:D50)</f>
        <v>1.0999999999999999</v>
      </c>
      <c r="E51" s="26">
        <f>AVERAGE(E45:E50)</f>
        <v>9.2999999999999989</v>
      </c>
    </row>
    <row r="52" spans="1:7" ht="16.5" customHeight="1" x14ac:dyDescent="0.3">
      <c r="A52" s="27" t="s">
        <v>19</v>
      </c>
      <c r="B52" s="28">
        <f>(STDEV(B45:B50)/B51)</f>
        <v>8.1963731574697524E-3</v>
      </c>
      <c r="C52" s="29"/>
      <c r="D52" s="29"/>
      <c r="E52" s="30"/>
    </row>
    <row r="53" spans="1:7" s="589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589" customFormat="1" ht="15.75" customHeight="1" x14ac:dyDescent="0.25">
      <c r="A54" s="72"/>
      <c r="B54" s="72"/>
      <c r="C54" s="72"/>
      <c r="D54" s="72"/>
      <c r="E54" s="72"/>
    </row>
    <row r="55" spans="1:7" s="589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512"/>
      <c r="D58" s="43"/>
      <c r="F58" s="44"/>
      <c r="G58" s="44"/>
    </row>
    <row r="59" spans="1:7" ht="15" customHeight="1" x14ac:dyDescent="0.3">
      <c r="B59" s="647" t="s">
        <v>26</v>
      </c>
      <c r="C59" s="647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9" workbookViewId="0">
      <selection activeCell="C50" sqref="C50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51" t="s">
        <v>31</v>
      </c>
      <c r="B11" s="652"/>
      <c r="C11" s="652"/>
      <c r="D11" s="652"/>
      <c r="E11" s="652"/>
      <c r="F11" s="653"/>
      <c r="G11" s="91"/>
    </row>
    <row r="12" spans="1:7" ht="16.5" customHeight="1" x14ac:dyDescent="0.3">
      <c r="A12" s="650" t="s">
        <v>32</v>
      </c>
      <c r="B12" s="650"/>
      <c r="C12" s="650"/>
      <c r="D12" s="650"/>
      <c r="E12" s="650"/>
      <c r="F12" s="650"/>
      <c r="G12" s="90"/>
    </row>
    <row r="14" spans="1:7" ht="16.5" customHeight="1" x14ac:dyDescent="0.3">
      <c r="A14" s="655" t="s">
        <v>33</v>
      </c>
      <c r="B14" s="655"/>
      <c r="C14" s="60" t="s">
        <v>5</v>
      </c>
    </row>
    <row r="15" spans="1:7" ht="16.5" customHeight="1" x14ac:dyDescent="0.3">
      <c r="A15" s="655" t="s">
        <v>34</v>
      </c>
      <c r="B15" s="655"/>
      <c r="C15" s="60" t="s">
        <v>7</v>
      </c>
    </row>
    <row r="16" spans="1:7" ht="16.5" customHeight="1" x14ac:dyDescent="0.3">
      <c r="A16" s="655" t="s">
        <v>35</v>
      </c>
      <c r="B16" s="655"/>
      <c r="C16" s="60" t="s">
        <v>9</v>
      </c>
    </row>
    <row r="17" spans="1:5" ht="16.5" customHeight="1" x14ac:dyDescent="0.3">
      <c r="A17" s="655" t="s">
        <v>36</v>
      </c>
      <c r="B17" s="655"/>
      <c r="C17" s="60" t="s">
        <v>11</v>
      </c>
    </row>
    <row r="18" spans="1:5" ht="16.5" customHeight="1" x14ac:dyDescent="0.3">
      <c r="A18" s="655" t="s">
        <v>37</v>
      </c>
      <c r="B18" s="655"/>
      <c r="C18" s="97" t="s">
        <v>12</v>
      </c>
    </row>
    <row r="19" spans="1:5" ht="16.5" customHeight="1" x14ac:dyDescent="0.3">
      <c r="A19" s="655" t="s">
        <v>38</v>
      </c>
      <c r="B19" s="655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650" t="s">
        <v>1</v>
      </c>
      <c r="B21" s="650"/>
      <c r="C21" s="59" t="s">
        <v>39</v>
      </c>
      <c r="D21" s="66"/>
    </row>
    <row r="22" spans="1:5" ht="15.75" customHeight="1" x14ac:dyDescent="0.3">
      <c r="A22" s="654"/>
      <c r="B22" s="654"/>
      <c r="C22" s="57"/>
      <c r="D22" s="654"/>
      <c r="E22" s="654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297.24</v>
      </c>
      <c r="D24" s="87">
        <f t="shared" ref="D24:D43" si="0">(C24-$C$46)/$C$46</f>
        <v>1.020418472605291E-3</v>
      </c>
      <c r="E24" s="53"/>
    </row>
    <row r="25" spans="1:5" ht="15.75" customHeight="1" x14ac:dyDescent="0.3">
      <c r="C25" s="95">
        <v>297.22000000000003</v>
      </c>
      <c r="D25" s="88">
        <f t="shared" si="0"/>
        <v>9.5306411797793959E-4</v>
      </c>
      <c r="E25" s="53"/>
    </row>
    <row r="26" spans="1:5" ht="15.75" customHeight="1" x14ac:dyDescent="0.3">
      <c r="C26" s="95">
        <v>294.57</v>
      </c>
      <c r="D26" s="88">
        <f t="shared" si="0"/>
        <v>-7.9713878701543374E-3</v>
      </c>
      <c r="E26" s="53"/>
    </row>
    <row r="27" spans="1:5" ht="15.75" customHeight="1" x14ac:dyDescent="0.3">
      <c r="C27" s="95">
        <v>295.91000000000003</v>
      </c>
      <c r="D27" s="88">
        <f t="shared" si="0"/>
        <v>-3.4586461101175896E-3</v>
      </c>
      <c r="E27" s="53"/>
    </row>
    <row r="28" spans="1:5" ht="15.75" customHeight="1" x14ac:dyDescent="0.3">
      <c r="C28" s="95">
        <v>295.83999999999997</v>
      </c>
      <c r="D28" s="88">
        <f t="shared" si="0"/>
        <v>-3.6943863513137021E-3</v>
      </c>
      <c r="E28" s="53"/>
    </row>
    <row r="29" spans="1:5" ht="15.75" customHeight="1" x14ac:dyDescent="0.3">
      <c r="C29" s="95">
        <v>295.93</v>
      </c>
      <c r="D29" s="88">
        <f t="shared" si="0"/>
        <v>-3.3912917554902383E-3</v>
      </c>
      <c r="E29" s="53"/>
    </row>
    <row r="30" spans="1:5" ht="15.75" customHeight="1" x14ac:dyDescent="0.3">
      <c r="C30" s="95">
        <v>296.8</v>
      </c>
      <c r="D30" s="88">
        <f t="shared" si="0"/>
        <v>-4.6137732919777745E-4</v>
      </c>
      <c r="E30" s="53"/>
    </row>
    <row r="31" spans="1:5" ht="15.75" customHeight="1" x14ac:dyDescent="0.3">
      <c r="C31" s="95">
        <v>295.06</v>
      </c>
      <c r="D31" s="88">
        <f t="shared" si="0"/>
        <v>-6.3212061817826994E-3</v>
      </c>
      <c r="E31" s="53"/>
    </row>
    <row r="32" spans="1:5" ht="15.75" customHeight="1" x14ac:dyDescent="0.3">
      <c r="C32" s="95">
        <v>295.68</v>
      </c>
      <c r="D32" s="88">
        <f t="shared" si="0"/>
        <v>-4.233221188332895E-3</v>
      </c>
      <c r="E32" s="53"/>
    </row>
    <row r="33" spans="1:7" ht="15.75" customHeight="1" x14ac:dyDescent="0.3">
      <c r="C33" s="95">
        <v>298.77999999999997</v>
      </c>
      <c r="D33" s="88">
        <f t="shared" si="0"/>
        <v>6.2067037789159344E-3</v>
      </c>
      <c r="E33" s="53"/>
    </row>
    <row r="34" spans="1:7" ht="15.75" customHeight="1" x14ac:dyDescent="0.3">
      <c r="C34" s="95">
        <v>298.82</v>
      </c>
      <c r="D34" s="88">
        <f t="shared" si="0"/>
        <v>6.3414124881708287E-3</v>
      </c>
      <c r="E34" s="53"/>
    </row>
    <row r="35" spans="1:7" ht="15.75" customHeight="1" x14ac:dyDescent="0.3">
      <c r="C35" s="95">
        <v>294.60000000000002</v>
      </c>
      <c r="D35" s="88">
        <f t="shared" si="0"/>
        <v>-7.8703563382131192E-3</v>
      </c>
      <c r="E35" s="53"/>
    </row>
    <row r="36" spans="1:7" ht="15.75" customHeight="1" x14ac:dyDescent="0.3">
      <c r="C36" s="95">
        <v>298.58999999999997</v>
      </c>
      <c r="D36" s="88">
        <f t="shared" si="0"/>
        <v>5.5668374099555225E-3</v>
      </c>
      <c r="E36" s="53"/>
    </row>
    <row r="37" spans="1:7" ht="15.75" customHeight="1" x14ac:dyDescent="0.3">
      <c r="C37" s="95">
        <v>297.57</v>
      </c>
      <c r="D37" s="88">
        <f t="shared" si="0"/>
        <v>2.1317653239575443E-3</v>
      </c>
      <c r="E37" s="53"/>
    </row>
    <row r="38" spans="1:7" ht="15.75" customHeight="1" x14ac:dyDescent="0.3">
      <c r="C38" s="95">
        <v>293.68</v>
      </c>
      <c r="D38" s="88">
        <f t="shared" si="0"/>
        <v>-1.096865665107415E-2</v>
      </c>
      <c r="E38" s="53"/>
    </row>
    <row r="39" spans="1:7" ht="15.75" customHeight="1" x14ac:dyDescent="0.3">
      <c r="C39" s="95">
        <v>294.86</v>
      </c>
      <c r="D39" s="88">
        <f t="shared" si="0"/>
        <v>-6.9947497280567865E-3</v>
      </c>
      <c r="E39" s="53"/>
    </row>
    <row r="40" spans="1:7" ht="15.75" customHeight="1" x14ac:dyDescent="0.3">
      <c r="C40" s="95">
        <v>297.95</v>
      </c>
      <c r="D40" s="88">
        <f t="shared" si="0"/>
        <v>3.4114980618783672E-3</v>
      </c>
      <c r="E40" s="53"/>
    </row>
    <row r="41" spans="1:7" ht="15.75" customHeight="1" x14ac:dyDescent="0.3">
      <c r="C41" s="95">
        <v>300.39</v>
      </c>
      <c r="D41" s="88">
        <f t="shared" si="0"/>
        <v>1.162872932642269E-2</v>
      </c>
      <c r="E41" s="53"/>
    </row>
    <row r="42" spans="1:7" ht="15.75" customHeight="1" x14ac:dyDescent="0.3">
      <c r="C42" s="95">
        <v>299.16000000000003</v>
      </c>
      <c r="D42" s="88">
        <f t="shared" si="0"/>
        <v>7.4864365168369491E-3</v>
      </c>
      <c r="E42" s="53"/>
    </row>
    <row r="43" spans="1:7" ht="16.5" customHeight="1" x14ac:dyDescent="0.3">
      <c r="C43" s="96">
        <v>300.08999999999997</v>
      </c>
      <c r="D43" s="89">
        <f t="shared" si="0"/>
        <v>1.0618414007011464E-2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5938.74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296.93700000000001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648">
        <f>C46</f>
        <v>296.93700000000001</v>
      </c>
      <c r="C49" s="93">
        <f>-IF(C46&lt;=80,10%,IF(C46&lt;250,7.5%,5%))</f>
        <v>-0.05</v>
      </c>
      <c r="D49" s="81">
        <f>IF(C46&lt;=80,C46*0.9,IF(C46&lt;250,C46*0.925,C46*0.95))</f>
        <v>282.09014999999999</v>
      </c>
    </row>
    <row r="50" spans="1:6" ht="17.25" customHeight="1" x14ac:dyDescent="0.3">
      <c r="B50" s="649"/>
      <c r="C50" s="94">
        <f>IF(C46&lt;=80, 10%, IF(C46&lt;250, 7.5%, 5%))</f>
        <v>0.05</v>
      </c>
      <c r="D50" s="81">
        <f>IF(C46&lt;=80, C46*1.1, IF(C46&lt;250, C46*1.075, C46*1.05))</f>
        <v>311.78385000000003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B98" zoomScale="60" zoomScaleNormal="40" zoomScalePageLayoutView="55" workbookViewId="0">
      <selection activeCell="D56" sqref="D5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84" t="s">
        <v>45</v>
      </c>
      <c r="B1" s="684"/>
      <c r="C1" s="684"/>
      <c r="D1" s="684"/>
      <c r="E1" s="684"/>
      <c r="F1" s="684"/>
      <c r="G1" s="684"/>
      <c r="H1" s="684"/>
      <c r="I1" s="684"/>
    </row>
    <row r="2" spans="1:9" ht="18.75" customHeight="1" x14ac:dyDescent="0.25">
      <c r="A2" s="684"/>
      <c r="B2" s="684"/>
      <c r="C2" s="684"/>
      <c r="D2" s="684"/>
      <c r="E2" s="684"/>
      <c r="F2" s="684"/>
      <c r="G2" s="684"/>
      <c r="H2" s="684"/>
      <c r="I2" s="684"/>
    </row>
    <row r="3" spans="1:9" ht="18.75" customHeight="1" x14ac:dyDescent="0.25">
      <c r="A3" s="684"/>
      <c r="B3" s="684"/>
      <c r="C3" s="684"/>
      <c r="D3" s="684"/>
      <c r="E3" s="684"/>
      <c r="F3" s="684"/>
      <c r="G3" s="684"/>
      <c r="H3" s="684"/>
      <c r="I3" s="684"/>
    </row>
    <row r="4" spans="1:9" ht="18.75" customHeight="1" x14ac:dyDescent="0.25">
      <c r="A4" s="684"/>
      <c r="B4" s="684"/>
      <c r="C4" s="684"/>
      <c r="D4" s="684"/>
      <c r="E4" s="684"/>
      <c r="F4" s="684"/>
      <c r="G4" s="684"/>
      <c r="H4" s="684"/>
      <c r="I4" s="684"/>
    </row>
    <row r="5" spans="1:9" ht="18.75" customHeight="1" x14ac:dyDescent="0.25">
      <c r="A5" s="684"/>
      <c r="B5" s="684"/>
      <c r="C5" s="684"/>
      <c r="D5" s="684"/>
      <c r="E5" s="684"/>
      <c r="F5" s="684"/>
      <c r="G5" s="684"/>
      <c r="H5" s="684"/>
      <c r="I5" s="684"/>
    </row>
    <row r="6" spans="1:9" ht="18.75" customHeight="1" x14ac:dyDescent="0.25">
      <c r="A6" s="684"/>
      <c r="B6" s="684"/>
      <c r="C6" s="684"/>
      <c r="D6" s="684"/>
      <c r="E6" s="684"/>
      <c r="F6" s="684"/>
      <c r="G6" s="684"/>
      <c r="H6" s="684"/>
      <c r="I6" s="684"/>
    </row>
    <row r="7" spans="1:9" ht="18.75" customHeight="1" x14ac:dyDescent="0.25">
      <c r="A7" s="684"/>
      <c r="B7" s="684"/>
      <c r="C7" s="684"/>
      <c r="D7" s="684"/>
      <c r="E7" s="684"/>
      <c r="F7" s="684"/>
      <c r="G7" s="684"/>
      <c r="H7" s="684"/>
      <c r="I7" s="684"/>
    </row>
    <row r="8" spans="1:9" x14ac:dyDescent="0.25">
      <c r="A8" s="685" t="s">
        <v>46</v>
      </c>
      <c r="B8" s="685"/>
      <c r="C8" s="685"/>
      <c r="D8" s="685"/>
      <c r="E8" s="685"/>
      <c r="F8" s="685"/>
      <c r="G8" s="685"/>
      <c r="H8" s="685"/>
      <c r="I8" s="685"/>
    </row>
    <row r="9" spans="1:9" x14ac:dyDescent="0.25">
      <c r="A9" s="685"/>
      <c r="B9" s="685"/>
      <c r="C9" s="685"/>
      <c r="D9" s="685"/>
      <c r="E9" s="685"/>
      <c r="F9" s="685"/>
      <c r="G9" s="685"/>
      <c r="H9" s="685"/>
      <c r="I9" s="685"/>
    </row>
    <row r="10" spans="1:9" x14ac:dyDescent="0.25">
      <c r="A10" s="685"/>
      <c r="B10" s="685"/>
      <c r="C10" s="685"/>
      <c r="D10" s="685"/>
      <c r="E10" s="685"/>
      <c r="F10" s="685"/>
      <c r="G10" s="685"/>
      <c r="H10" s="685"/>
      <c r="I10" s="685"/>
    </row>
    <row r="11" spans="1:9" x14ac:dyDescent="0.25">
      <c r="A11" s="685"/>
      <c r="B11" s="685"/>
      <c r="C11" s="685"/>
      <c r="D11" s="685"/>
      <c r="E11" s="685"/>
      <c r="F11" s="685"/>
      <c r="G11" s="685"/>
      <c r="H11" s="685"/>
      <c r="I11" s="685"/>
    </row>
    <row r="12" spans="1:9" x14ac:dyDescent="0.25">
      <c r="A12" s="685"/>
      <c r="B12" s="685"/>
      <c r="C12" s="685"/>
      <c r="D12" s="685"/>
      <c r="E12" s="685"/>
      <c r="F12" s="685"/>
      <c r="G12" s="685"/>
      <c r="H12" s="685"/>
      <c r="I12" s="685"/>
    </row>
    <row r="13" spans="1:9" x14ac:dyDescent="0.25">
      <c r="A13" s="685"/>
      <c r="B13" s="685"/>
      <c r="C13" s="685"/>
      <c r="D13" s="685"/>
      <c r="E13" s="685"/>
      <c r="F13" s="685"/>
      <c r="G13" s="685"/>
      <c r="H13" s="685"/>
      <c r="I13" s="685"/>
    </row>
    <row r="14" spans="1:9" x14ac:dyDescent="0.25">
      <c r="A14" s="685"/>
      <c r="B14" s="685"/>
      <c r="C14" s="685"/>
      <c r="D14" s="685"/>
      <c r="E14" s="685"/>
      <c r="F14" s="685"/>
      <c r="G14" s="685"/>
      <c r="H14" s="685"/>
      <c r="I14" s="685"/>
    </row>
    <row r="15" spans="1:9" ht="19.5" customHeight="1" x14ac:dyDescent="0.3">
      <c r="A15" s="280"/>
    </row>
    <row r="16" spans="1:9" ht="19.5" customHeight="1" x14ac:dyDescent="0.3">
      <c r="A16" s="657" t="s">
        <v>31</v>
      </c>
      <c r="B16" s="658"/>
      <c r="C16" s="658"/>
      <c r="D16" s="658"/>
      <c r="E16" s="658"/>
      <c r="F16" s="658"/>
      <c r="G16" s="658"/>
      <c r="H16" s="659"/>
    </row>
    <row r="17" spans="1:14" ht="20.25" customHeight="1" x14ac:dyDescent="0.25">
      <c r="A17" s="660" t="s">
        <v>47</v>
      </c>
      <c r="B17" s="660"/>
      <c r="C17" s="660"/>
      <c r="D17" s="660"/>
      <c r="E17" s="660"/>
      <c r="F17" s="660"/>
      <c r="G17" s="660"/>
      <c r="H17" s="660"/>
    </row>
    <row r="18" spans="1:14" ht="26.25" customHeight="1" x14ac:dyDescent="0.4">
      <c r="A18" s="282" t="s">
        <v>33</v>
      </c>
      <c r="B18" s="656" t="s">
        <v>5</v>
      </c>
      <c r="C18" s="656"/>
      <c r="D18" s="447"/>
      <c r="E18" s="283"/>
      <c r="F18" s="284"/>
      <c r="G18" s="284"/>
      <c r="H18" s="284"/>
    </row>
    <row r="19" spans="1:14" ht="26.25" customHeight="1" x14ac:dyDescent="0.4">
      <c r="A19" s="282" t="s">
        <v>34</v>
      </c>
      <c r="B19" s="285" t="s">
        <v>7</v>
      </c>
      <c r="C19" s="460">
        <v>29</v>
      </c>
      <c r="D19" s="284"/>
      <c r="E19" s="284"/>
      <c r="F19" s="284"/>
      <c r="G19" s="284"/>
      <c r="H19" s="284"/>
    </row>
    <row r="20" spans="1:14" ht="26.25" customHeight="1" x14ac:dyDescent="0.4">
      <c r="A20" s="282" t="s">
        <v>35</v>
      </c>
      <c r="B20" s="661" t="s">
        <v>9</v>
      </c>
      <c r="C20" s="661"/>
      <c r="D20" s="284"/>
      <c r="E20" s="284"/>
      <c r="F20" s="284"/>
      <c r="G20" s="284"/>
      <c r="H20" s="284"/>
    </row>
    <row r="21" spans="1:14" ht="26.25" customHeight="1" x14ac:dyDescent="0.4">
      <c r="A21" s="282" t="s">
        <v>36</v>
      </c>
      <c r="B21" s="661" t="s">
        <v>11</v>
      </c>
      <c r="C21" s="661"/>
      <c r="D21" s="661"/>
      <c r="E21" s="661"/>
      <c r="F21" s="661"/>
      <c r="G21" s="661"/>
      <c r="H21" s="661"/>
      <c r="I21" s="286"/>
    </row>
    <row r="22" spans="1:14" ht="26.25" customHeight="1" x14ac:dyDescent="0.4">
      <c r="A22" s="282" t="s">
        <v>37</v>
      </c>
      <c r="B22" s="645">
        <v>42531.493668981479</v>
      </c>
      <c r="C22" s="284"/>
      <c r="D22" s="284"/>
      <c r="E22" s="284"/>
      <c r="F22" s="284"/>
      <c r="G22" s="284"/>
      <c r="H22" s="284"/>
    </row>
    <row r="23" spans="1:14" ht="26.25" customHeight="1" x14ac:dyDescent="0.4">
      <c r="A23" s="282" t="s">
        <v>38</v>
      </c>
      <c r="B23" s="645">
        <v>42535.41033564815</v>
      </c>
      <c r="C23" s="284"/>
      <c r="D23" s="284"/>
      <c r="E23" s="284"/>
      <c r="F23" s="284"/>
      <c r="G23" s="284"/>
      <c r="H23" s="284"/>
    </row>
    <row r="24" spans="1:14" ht="18.75" x14ac:dyDescent="0.3">
      <c r="A24" s="282"/>
      <c r="B24" s="287"/>
    </row>
    <row r="25" spans="1:14" ht="18.75" x14ac:dyDescent="0.3">
      <c r="A25" s="288" t="s">
        <v>1</v>
      </c>
      <c r="B25" s="287"/>
    </row>
    <row r="26" spans="1:14" ht="26.25" customHeight="1" x14ac:dyDescent="0.4">
      <c r="A26" s="289" t="s">
        <v>4</v>
      </c>
      <c r="B26" s="656" t="s">
        <v>128</v>
      </c>
      <c r="C26" s="656"/>
    </row>
    <row r="27" spans="1:14" ht="26.25" customHeight="1" x14ac:dyDescent="0.4">
      <c r="A27" s="290" t="s">
        <v>48</v>
      </c>
      <c r="B27" s="662" t="s">
        <v>129</v>
      </c>
      <c r="C27" s="662"/>
    </row>
    <row r="28" spans="1:14" ht="27" customHeight="1" x14ac:dyDescent="0.4">
      <c r="A28" s="290" t="s">
        <v>6</v>
      </c>
      <c r="B28" s="291">
        <v>98.5</v>
      </c>
    </row>
    <row r="29" spans="1:14" s="14" customFormat="1" ht="27" customHeight="1" x14ac:dyDescent="0.4">
      <c r="A29" s="290" t="s">
        <v>49</v>
      </c>
      <c r="B29" s="292">
        <v>0</v>
      </c>
      <c r="C29" s="663" t="s">
        <v>50</v>
      </c>
      <c r="D29" s="664"/>
      <c r="E29" s="664"/>
      <c r="F29" s="664"/>
      <c r="G29" s="665"/>
      <c r="I29" s="293"/>
      <c r="J29" s="293"/>
      <c r="K29" s="293"/>
      <c r="L29" s="293"/>
    </row>
    <row r="30" spans="1:14" s="14" customFormat="1" ht="19.5" customHeight="1" x14ac:dyDescent="0.3">
      <c r="A30" s="290" t="s">
        <v>51</v>
      </c>
      <c r="B30" s="294">
        <f>B28-B29</f>
        <v>98.5</v>
      </c>
      <c r="C30" s="295"/>
      <c r="D30" s="295"/>
      <c r="E30" s="295"/>
      <c r="F30" s="295"/>
      <c r="G30" s="296"/>
      <c r="I30" s="293"/>
      <c r="J30" s="293"/>
      <c r="K30" s="293"/>
      <c r="L30" s="293"/>
    </row>
    <row r="31" spans="1:14" s="14" customFormat="1" ht="27" customHeight="1" x14ac:dyDescent="0.4">
      <c r="A31" s="290" t="s">
        <v>52</v>
      </c>
      <c r="B31" s="297">
        <v>1</v>
      </c>
      <c r="C31" s="666" t="s">
        <v>53</v>
      </c>
      <c r="D31" s="667"/>
      <c r="E31" s="667"/>
      <c r="F31" s="667"/>
      <c r="G31" s="667"/>
      <c r="H31" s="668"/>
      <c r="I31" s="293"/>
      <c r="J31" s="293"/>
      <c r="K31" s="293"/>
      <c r="L31" s="293"/>
    </row>
    <row r="32" spans="1:14" s="14" customFormat="1" ht="27" customHeight="1" x14ac:dyDescent="0.4">
      <c r="A32" s="290" t="s">
        <v>54</v>
      </c>
      <c r="B32" s="297">
        <v>1</v>
      </c>
      <c r="C32" s="666" t="s">
        <v>55</v>
      </c>
      <c r="D32" s="667"/>
      <c r="E32" s="667"/>
      <c r="F32" s="667"/>
      <c r="G32" s="667"/>
      <c r="H32" s="668"/>
      <c r="I32" s="293"/>
      <c r="J32" s="293"/>
      <c r="K32" s="293"/>
      <c r="L32" s="298"/>
      <c r="M32" s="298"/>
      <c r="N32" s="299"/>
    </row>
    <row r="33" spans="1:14" s="14" customFormat="1" ht="17.25" customHeight="1" x14ac:dyDescent="0.3">
      <c r="A33" s="290"/>
      <c r="B33" s="300"/>
      <c r="C33" s="301"/>
      <c r="D33" s="301"/>
      <c r="E33" s="301"/>
      <c r="F33" s="301"/>
      <c r="G33" s="301"/>
      <c r="H33" s="301"/>
      <c r="I33" s="293"/>
      <c r="J33" s="293"/>
      <c r="K33" s="293"/>
      <c r="L33" s="298"/>
      <c r="M33" s="298"/>
      <c r="N33" s="299"/>
    </row>
    <row r="34" spans="1:14" s="14" customFormat="1" ht="18.75" x14ac:dyDescent="0.3">
      <c r="A34" s="290" t="s">
        <v>56</v>
      </c>
      <c r="B34" s="302">
        <f>B31/B32</f>
        <v>1</v>
      </c>
      <c r="C34" s="281" t="s">
        <v>57</v>
      </c>
      <c r="D34" s="281"/>
      <c r="E34" s="281"/>
      <c r="F34" s="281"/>
      <c r="G34" s="281"/>
      <c r="I34" s="293"/>
      <c r="J34" s="293"/>
      <c r="K34" s="293"/>
      <c r="L34" s="298"/>
      <c r="M34" s="298"/>
      <c r="N34" s="299"/>
    </row>
    <row r="35" spans="1:14" s="14" customFormat="1" ht="19.5" customHeight="1" x14ac:dyDescent="0.3">
      <c r="A35" s="290"/>
      <c r="B35" s="294"/>
      <c r="G35" s="281"/>
      <c r="I35" s="293"/>
      <c r="J35" s="293"/>
      <c r="K35" s="293"/>
      <c r="L35" s="298"/>
      <c r="M35" s="298"/>
      <c r="N35" s="299"/>
    </row>
    <row r="36" spans="1:14" s="14" customFormat="1" ht="27" customHeight="1" x14ac:dyDescent="0.4">
      <c r="A36" s="303" t="s">
        <v>58</v>
      </c>
      <c r="B36" s="304">
        <v>100</v>
      </c>
      <c r="C36" s="281"/>
      <c r="D36" s="669" t="s">
        <v>59</v>
      </c>
      <c r="E36" s="670"/>
      <c r="F36" s="669" t="s">
        <v>60</v>
      </c>
      <c r="G36" s="671"/>
      <c r="J36" s="293"/>
      <c r="K36" s="293"/>
      <c r="L36" s="298"/>
      <c r="M36" s="298"/>
      <c r="N36" s="299"/>
    </row>
    <row r="37" spans="1:14" s="14" customFormat="1" ht="27" customHeight="1" x14ac:dyDescent="0.4">
      <c r="A37" s="305" t="s">
        <v>61</v>
      </c>
      <c r="B37" s="306">
        <v>1</v>
      </c>
      <c r="C37" s="307" t="s">
        <v>62</v>
      </c>
      <c r="D37" s="308" t="s">
        <v>63</v>
      </c>
      <c r="E37" s="309" t="s">
        <v>64</v>
      </c>
      <c r="F37" s="308" t="s">
        <v>63</v>
      </c>
      <c r="G37" s="310" t="s">
        <v>64</v>
      </c>
      <c r="I37" s="311" t="s">
        <v>65</v>
      </c>
      <c r="J37" s="293"/>
      <c r="K37" s="293"/>
      <c r="L37" s="298"/>
      <c r="M37" s="298"/>
      <c r="N37" s="299"/>
    </row>
    <row r="38" spans="1:14" s="14" customFormat="1" ht="26.25" customHeight="1" x14ac:dyDescent="0.4">
      <c r="A38" s="305" t="s">
        <v>66</v>
      </c>
      <c r="B38" s="306">
        <v>1</v>
      </c>
      <c r="C38" s="312">
        <v>1</v>
      </c>
      <c r="D38" s="494">
        <v>7689427</v>
      </c>
      <c r="E38" s="313">
        <f>IF(ISBLANK(D38),"-",$D$48/$D$45*D38)</f>
        <v>6333894.4203622285</v>
      </c>
      <c r="F38" s="494">
        <v>6309297</v>
      </c>
      <c r="G38" s="314">
        <f>IF(ISBLANK(F38),"-",$D$48/$F$45*F38)</f>
        <v>6310716.9113050438</v>
      </c>
      <c r="I38" s="315"/>
      <c r="J38" s="293"/>
      <c r="K38" s="293"/>
      <c r="L38" s="298"/>
      <c r="M38" s="298"/>
      <c r="N38" s="299"/>
    </row>
    <row r="39" spans="1:14" s="14" customFormat="1" ht="26.25" customHeight="1" x14ac:dyDescent="0.4">
      <c r="A39" s="305" t="s">
        <v>67</v>
      </c>
      <c r="B39" s="306">
        <v>1</v>
      </c>
      <c r="C39" s="316">
        <v>2</v>
      </c>
      <c r="D39" s="499">
        <v>7689148</v>
      </c>
      <c r="E39" s="318">
        <f>IF(ISBLANK(D39),"-",$D$48/$D$45*D39)</f>
        <v>6333664.6039476534</v>
      </c>
      <c r="F39" s="499">
        <v>6308213</v>
      </c>
      <c r="G39" s="319">
        <f>IF(ISBLANK(F39),"-",$D$48/$F$45*F39)</f>
        <v>6309632.6673501544</v>
      </c>
      <c r="I39" s="673">
        <f>ABS((F43/D43*D42)-F42)/D42</f>
        <v>3.000234786790951E-3</v>
      </c>
      <c r="J39" s="293"/>
      <c r="K39" s="293"/>
      <c r="L39" s="298"/>
      <c r="M39" s="298"/>
      <c r="N39" s="299"/>
    </row>
    <row r="40" spans="1:14" ht="26.25" customHeight="1" x14ac:dyDescent="0.4">
      <c r="A40" s="305" t="s">
        <v>68</v>
      </c>
      <c r="B40" s="306">
        <v>1</v>
      </c>
      <c r="C40" s="316">
        <v>3</v>
      </c>
      <c r="D40" s="499">
        <v>7687659</v>
      </c>
      <c r="E40" s="318">
        <f>IF(ISBLANK(D40),"-",$D$48/$D$45*D40)</f>
        <v>6332438.0926885018</v>
      </c>
      <c r="F40" s="499">
        <v>6309008</v>
      </c>
      <c r="G40" s="319">
        <f>IF(ISBLANK(F40),"-",$D$48/$F$45*F40)</f>
        <v>6310427.8462654101</v>
      </c>
      <c r="I40" s="673"/>
      <c r="L40" s="298"/>
      <c r="M40" s="298"/>
      <c r="N40" s="320"/>
    </row>
    <row r="41" spans="1:14" ht="27" customHeight="1" x14ac:dyDescent="0.4">
      <c r="A41" s="305" t="s">
        <v>69</v>
      </c>
      <c r="B41" s="306">
        <v>1</v>
      </c>
      <c r="C41" s="321">
        <v>4</v>
      </c>
      <c r="D41" s="322"/>
      <c r="E41" s="323" t="str">
        <f>IF(ISBLANK(D41),"-",$D$48/$D$45*D41)</f>
        <v>-</v>
      </c>
      <c r="F41" s="322"/>
      <c r="G41" s="324" t="str">
        <f>IF(ISBLANK(F41),"-",$D$48/$F$45*F41)</f>
        <v>-</v>
      </c>
      <c r="I41" s="325"/>
      <c r="L41" s="298"/>
      <c r="M41" s="298"/>
      <c r="N41" s="320"/>
    </row>
    <row r="42" spans="1:14" ht="27" customHeight="1" x14ac:dyDescent="0.4">
      <c r="A42" s="305" t="s">
        <v>70</v>
      </c>
      <c r="B42" s="306">
        <v>1</v>
      </c>
      <c r="C42" s="326" t="s">
        <v>71</v>
      </c>
      <c r="D42" s="327">
        <f>AVERAGE(D38:D41)</f>
        <v>7688744.666666667</v>
      </c>
      <c r="E42" s="328">
        <f>AVERAGE(E38:E41)</f>
        <v>6333332.3723327937</v>
      </c>
      <c r="F42" s="327">
        <f>AVERAGE(F38:F41)</f>
        <v>6308839.333333333</v>
      </c>
      <c r="G42" s="329">
        <f>AVERAGE(G38:G41)</f>
        <v>6310259.1416402021</v>
      </c>
      <c r="H42" s="330"/>
    </row>
    <row r="43" spans="1:14" ht="26.25" customHeight="1" x14ac:dyDescent="0.4">
      <c r="A43" s="305" t="s">
        <v>72</v>
      </c>
      <c r="B43" s="306">
        <v>1</v>
      </c>
      <c r="C43" s="331" t="s">
        <v>73</v>
      </c>
      <c r="D43" s="332">
        <v>9.86</v>
      </c>
      <c r="E43" s="320"/>
      <c r="F43" s="332">
        <v>8.1199999999999992</v>
      </c>
      <c r="H43" s="330"/>
    </row>
    <row r="44" spans="1:14" ht="26.25" customHeight="1" x14ac:dyDescent="0.4">
      <c r="A44" s="305" t="s">
        <v>74</v>
      </c>
      <c r="B44" s="306">
        <v>1</v>
      </c>
      <c r="C44" s="333" t="s">
        <v>75</v>
      </c>
      <c r="D44" s="334">
        <f>D43*$B$34</f>
        <v>9.86</v>
      </c>
      <c r="E44" s="335"/>
      <c r="F44" s="334">
        <f>F43*$B$34</f>
        <v>8.1199999999999992</v>
      </c>
      <c r="H44" s="330"/>
    </row>
    <row r="45" spans="1:14" ht="19.5" customHeight="1" x14ac:dyDescent="0.3">
      <c r="A45" s="305" t="s">
        <v>76</v>
      </c>
      <c r="B45" s="336">
        <f>(B44/B43)*(B42/B41)*(B40/B39)*(B38/B37)*B36</f>
        <v>100</v>
      </c>
      <c r="C45" s="333" t="s">
        <v>77</v>
      </c>
      <c r="D45" s="337">
        <f>D44*$B$30/100</f>
        <v>9.7120999999999995</v>
      </c>
      <c r="E45" s="338"/>
      <c r="F45" s="337">
        <f>F44*$B$30/100</f>
        <v>7.9981999999999998</v>
      </c>
      <c r="H45" s="330"/>
    </row>
    <row r="46" spans="1:14" ht="19.5" customHeight="1" x14ac:dyDescent="0.3">
      <c r="A46" s="674" t="s">
        <v>78</v>
      </c>
      <c r="B46" s="675"/>
      <c r="C46" s="333" t="s">
        <v>79</v>
      </c>
      <c r="D46" s="339">
        <f>D45/$B$45</f>
        <v>9.7120999999999999E-2</v>
      </c>
      <c r="E46" s="340"/>
      <c r="F46" s="341">
        <f>F45/$B$45</f>
        <v>7.9981999999999998E-2</v>
      </c>
      <c r="H46" s="330"/>
    </row>
    <row r="47" spans="1:14" ht="27" customHeight="1" x14ac:dyDescent="0.4">
      <c r="A47" s="676"/>
      <c r="B47" s="677"/>
      <c r="C47" s="342" t="s">
        <v>80</v>
      </c>
      <c r="D47" s="343">
        <v>0.08</v>
      </c>
      <c r="E47" s="344"/>
      <c r="F47" s="340"/>
      <c r="H47" s="330"/>
    </row>
    <row r="48" spans="1:14" ht="18.75" x14ac:dyDescent="0.3">
      <c r="C48" s="345" t="s">
        <v>81</v>
      </c>
      <c r="D48" s="337">
        <f>D47*$B$45</f>
        <v>8</v>
      </c>
      <c r="F48" s="346"/>
      <c r="H48" s="330"/>
    </row>
    <row r="49" spans="1:12" ht="19.5" customHeight="1" x14ac:dyDescent="0.3">
      <c r="C49" s="347" t="s">
        <v>82</v>
      </c>
      <c r="D49" s="348">
        <f>D48/B34</f>
        <v>8</v>
      </c>
      <c r="F49" s="346"/>
      <c r="H49" s="330"/>
    </row>
    <row r="50" spans="1:12" ht="18.75" x14ac:dyDescent="0.3">
      <c r="C50" s="303" t="s">
        <v>83</v>
      </c>
      <c r="D50" s="349">
        <f>AVERAGE(E38:E41,G38:G41)</f>
        <v>6321795.7569864988</v>
      </c>
      <c r="F50" s="350"/>
      <c r="H50" s="330"/>
    </row>
    <row r="51" spans="1:12" ht="18.75" x14ac:dyDescent="0.3">
      <c r="C51" s="305" t="s">
        <v>84</v>
      </c>
      <c r="D51" s="351">
        <f>STDEV(E38:E41,G38:G41)/D50</f>
        <v>2.0013950138744576E-3</v>
      </c>
      <c r="F51" s="350"/>
      <c r="H51" s="330"/>
    </row>
    <row r="52" spans="1:12" ht="19.5" customHeight="1" x14ac:dyDescent="0.3">
      <c r="C52" s="352" t="s">
        <v>20</v>
      </c>
      <c r="D52" s="353">
        <f>COUNT(E38:E41,G38:G41)</f>
        <v>6</v>
      </c>
      <c r="F52" s="350"/>
    </row>
    <row r="54" spans="1:12" ht="18.75" x14ac:dyDescent="0.3">
      <c r="A54" s="354" t="s">
        <v>1</v>
      </c>
      <c r="B54" s="355" t="s">
        <v>85</v>
      </c>
    </row>
    <row r="55" spans="1:12" ht="18.75" x14ac:dyDescent="0.3">
      <c r="A55" s="281" t="s">
        <v>86</v>
      </c>
      <c r="B55" s="356" t="str">
        <f>B21</f>
        <v xml:space="preserve">Rifampicin 60mg, Isoniazid 30mg, Pyrazinamide 150mg 
</v>
      </c>
    </row>
    <row r="56" spans="1:12" ht="26.25" customHeight="1" x14ac:dyDescent="0.4">
      <c r="A56" s="357" t="s">
        <v>87</v>
      </c>
      <c r="B56" s="358">
        <v>30</v>
      </c>
      <c r="C56" s="281" t="str">
        <f>B20</f>
        <v xml:space="preserve">Rifampicin, Isoniazid, Pyrazinamide 
</v>
      </c>
      <c r="H56" s="359"/>
    </row>
    <row r="57" spans="1:12" ht="18.75" x14ac:dyDescent="0.3">
      <c r="A57" s="356" t="s">
        <v>88</v>
      </c>
      <c r="B57" s="448">
        <f>Uniformity!C46</f>
        <v>296.93700000000001</v>
      </c>
      <c r="H57" s="359"/>
    </row>
    <row r="58" spans="1:12" ht="19.5" customHeight="1" x14ac:dyDescent="0.3">
      <c r="H58" s="359"/>
    </row>
    <row r="59" spans="1:12" s="14" customFormat="1" ht="27" customHeight="1" x14ac:dyDescent="0.4">
      <c r="A59" s="303" t="s">
        <v>89</v>
      </c>
      <c r="B59" s="304">
        <v>100</v>
      </c>
      <c r="C59" s="281"/>
      <c r="D59" s="360" t="s">
        <v>90</v>
      </c>
      <c r="E59" s="361" t="s">
        <v>62</v>
      </c>
      <c r="F59" s="361" t="s">
        <v>63</v>
      </c>
      <c r="G59" s="361" t="s">
        <v>91</v>
      </c>
      <c r="H59" s="307" t="s">
        <v>92</v>
      </c>
      <c r="L59" s="293"/>
    </row>
    <row r="60" spans="1:12" s="14" customFormat="1" ht="26.25" customHeight="1" x14ac:dyDescent="0.4">
      <c r="A60" s="305" t="s">
        <v>93</v>
      </c>
      <c r="B60" s="306">
        <v>1</v>
      </c>
      <c r="C60" s="678" t="s">
        <v>94</v>
      </c>
      <c r="D60" s="681">
        <v>78.349999999999994</v>
      </c>
      <c r="E60" s="362">
        <v>1</v>
      </c>
      <c r="F60" s="363">
        <v>5745301</v>
      </c>
      <c r="G60" s="449">
        <f>IF(ISBLANK(F60),"-",(F60/$D$50*$D$47*$B$68)*($B$57/$D$60))</f>
        <v>27.554188720642923</v>
      </c>
      <c r="H60" s="364">
        <f t="shared" ref="H60:H71" si="0">IF(ISBLANK(F60),"-",G60/$B$56)</f>
        <v>0.91847295735476409</v>
      </c>
      <c r="L60" s="293"/>
    </row>
    <row r="61" spans="1:12" s="14" customFormat="1" ht="26.25" customHeight="1" x14ac:dyDescent="0.4">
      <c r="A61" s="305" t="s">
        <v>95</v>
      </c>
      <c r="B61" s="306">
        <v>1</v>
      </c>
      <c r="C61" s="679"/>
      <c r="D61" s="682"/>
      <c r="E61" s="365">
        <v>2</v>
      </c>
      <c r="F61" s="317">
        <v>5782973</v>
      </c>
      <c r="G61" s="450">
        <f>IF(ISBLANK(F61),"-",(F61/$D$50*$D$47*$B$68)*($B$57/$D$60))</f>
        <v>27.734861830282274</v>
      </c>
      <c r="H61" s="366">
        <f t="shared" si="0"/>
        <v>0.92449539434274242</v>
      </c>
      <c r="L61" s="293"/>
    </row>
    <row r="62" spans="1:12" s="14" customFormat="1" ht="26.25" customHeight="1" x14ac:dyDescent="0.4">
      <c r="A62" s="305" t="s">
        <v>96</v>
      </c>
      <c r="B62" s="306">
        <v>1</v>
      </c>
      <c r="C62" s="679"/>
      <c r="D62" s="682"/>
      <c r="E62" s="365">
        <v>3</v>
      </c>
      <c r="F62" s="367">
        <v>5806209</v>
      </c>
      <c r="G62" s="450">
        <f>IF(ISBLANK(F62),"-",(F62/$D$50*$D$47*$B$68)*($B$57/$D$60))</f>
        <v>27.846300574590508</v>
      </c>
      <c r="H62" s="366">
        <f t="shared" si="0"/>
        <v>0.92821001915301693</v>
      </c>
      <c r="L62" s="293"/>
    </row>
    <row r="63" spans="1:12" ht="27" customHeight="1" x14ac:dyDescent="0.4">
      <c r="A63" s="305" t="s">
        <v>97</v>
      </c>
      <c r="B63" s="306">
        <v>1</v>
      </c>
      <c r="C63" s="680"/>
      <c r="D63" s="683"/>
      <c r="E63" s="368">
        <v>4</v>
      </c>
      <c r="F63" s="369"/>
      <c r="G63" s="450" t="str">
        <f>IF(ISBLANK(F63),"-",(F63/$D$50*$D$47*$B$68)*($B$57/$D$60))</f>
        <v>-</v>
      </c>
      <c r="H63" s="366" t="str">
        <f t="shared" si="0"/>
        <v>-</v>
      </c>
    </row>
    <row r="64" spans="1:12" ht="26.25" customHeight="1" x14ac:dyDescent="0.4">
      <c r="A64" s="305" t="s">
        <v>98</v>
      </c>
      <c r="B64" s="306">
        <v>1</v>
      </c>
      <c r="C64" s="678" t="s">
        <v>99</v>
      </c>
      <c r="D64" s="681">
        <v>82.78</v>
      </c>
      <c r="E64" s="362">
        <v>1</v>
      </c>
      <c r="F64" s="363">
        <v>6312523</v>
      </c>
      <c r="G64" s="451">
        <f>IF(ISBLANK(F64),"-",(F64/$D$50*$D$47*$B$68)*($B$57/$D$64))</f>
        <v>28.654404957644932</v>
      </c>
      <c r="H64" s="370">
        <f t="shared" si="0"/>
        <v>0.95514683192149774</v>
      </c>
    </row>
    <row r="65" spans="1:8" ht="26.25" customHeight="1" x14ac:dyDescent="0.4">
      <c r="A65" s="305" t="s">
        <v>100</v>
      </c>
      <c r="B65" s="306">
        <v>1</v>
      </c>
      <c r="C65" s="679"/>
      <c r="D65" s="682"/>
      <c r="E65" s="365">
        <v>2</v>
      </c>
      <c r="F65" s="317">
        <v>6328268</v>
      </c>
      <c r="G65" s="452">
        <f>IF(ISBLANK(F65),"-",(F65/$D$50*$D$47*$B$68)*($B$57/$D$64))</f>
        <v>28.725876159580846</v>
      </c>
      <c r="H65" s="371">
        <f t="shared" si="0"/>
        <v>0.95752920531936148</v>
      </c>
    </row>
    <row r="66" spans="1:8" ht="26.25" customHeight="1" x14ac:dyDescent="0.4">
      <c r="A66" s="305" t="s">
        <v>101</v>
      </c>
      <c r="B66" s="306">
        <v>1</v>
      </c>
      <c r="C66" s="679"/>
      <c r="D66" s="682"/>
      <c r="E66" s="365">
        <v>3</v>
      </c>
      <c r="F66" s="317"/>
      <c r="G66" s="452" t="str">
        <f>IF(ISBLANK(F66),"-",(F66/$D$50*$D$47*$B$68)*($B$57/$D$64))</f>
        <v>-</v>
      </c>
      <c r="H66" s="371" t="str">
        <f t="shared" si="0"/>
        <v>-</v>
      </c>
    </row>
    <row r="67" spans="1:8" ht="27" customHeight="1" x14ac:dyDescent="0.4">
      <c r="A67" s="305" t="s">
        <v>102</v>
      </c>
      <c r="B67" s="306">
        <v>1</v>
      </c>
      <c r="C67" s="680"/>
      <c r="D67" s="683"/>
      <c r="E67" s="368">
        <v>4</v>
      </c>
      <c r="F67" s="369"/>
      <c r="G67" s="453" t="str">
        <f>IF(ISBLANK(F67),"-",(F67/$D$50*$D$47*$B$68)*($B$57/$D$64))</f>
        <v>-</v>
      </c>
      <c r="H67" s="372" t="str">
        <f t="shared" si="0"/>
        <v>-</v>
      </c>
    </row>
    <row r="68" spans="1:8" ht="26.25" customHeight="1" x14ac:dyDescent="0.4">
      <c r="A68" s="305" t="s">
        <v>103</v>
      </c>
      <c r="B68" s="373">
        <f>(B67/B66)*(B65/B64)*(B63/B62)*(B61/B60)*B59</f>
        <v>100</v>
      </c>
      <c r="C68" s="678" t="s">
        <v>104</v>
      </c>
      <c r="D68" s="681">
        <v>80.75</v>
      </c>
      <c r="E68" s="362">
        <v>1</v>
      </c>
      <c r="F68" s="363">
        <v>5926012</v>
      </c>
      <c r="G68" s="451">
        <f>IF(ISBLANK(F68),"-",(F68/$D$50*$D$47*$B$68)*($B$57/$D$68))</f>
        <v>27.576163057743184</v>
      </c>
      <c r="H68" s="366">
        <f t="shared" si="0"/>
        <v>0.91920543525810616</v>
      </c>
    </row>
    <row r="69" spans="1:8" ht="27" customHeight="1" x14ac:dyDescent="0.4">
      <c r="A69" s="352" t="s">
        <v>105</v>
      </c>
      <c r="B69" s="374">
        <f>(D47*B68)/B56*B57</f>
        <v>79.183199999999999</v>
      </c>
      <c r="C69" s="679"/>
      <c r="D69" s="682"/>
      <c r="E69" s="365">
        <v>2</v>
      </c>
      <c r="F69" s="317">
        <v>5953234</v>
      </c>
      <c r="G69" s="452">
        <f>IF(ISBLANK(F69),"-",(F69/$D$50*$D$47*$B$68)*($B$57/$D$68))</f>
        <v>27.702838182727383</v>
      </c>
      <c r="H69" s="366">
        <f t="shared" si="0"/>
        <v>0.92342793942424606</v>
      </c>
    </row>
    <row r="70" spans="1:8" ht="26.25" customHeight="1" x14ac:dyDescent="0.4">
      <c r="A70" s="691" t="s">
        <v>78</v>
      </c>
      <c r="B70" s="692"/>
      <c r="C70" s="679"/>
      <c r="D70" s="682"/>
      <c r="E70" s="365">
        <v>3</v>
      </c>
      <c r="F70" s="317"/>
      <c r="G70" s="452" t="str">
        <f>IF(ISBLANK(F70),"-",(F70/$D$50*$D$47*$B$68)*($B$57/$D$68))</f>
        <v>-</v>
      </c>
      <c r="H70" s="366" t="str">
        <f t="shared" si="0"/>
        <v>-</v>
      </c>
    </row>
    <row r="71" spans="1:8" ht="27" customHeight="1" x14ac:dyDescent="0.4">
      <c r="A71" s="693"/>
      <c r="B71" s="694"/>
      <c r="C71" s="690"/>
      <c r="D71" s="683"/>
      <c r="E71" s="368">
        <v>4</v>
      </c>
      <c r="F71" s="369"/>
      <c r="G71" s="453" t="str">
        <f>IF(ISBLANK(F71),"-",(F71/$D$50*$D$47*$B$68)*($B$57/$D$68))</f>
        <v>-</v>
      </c>
      <c r="H71" s="375" t="str">
        <f t="shared" si="0"/>
        <v>-</v>
      </c>
    </row>
    <row r="72" spans="1:8" ht="26.25" customHeight="1" x14ac:dyDescent="0.4">
      <c r="A72" s="376"/>
      <c r="B72" s="376"/>
      <c r="C72" s="376"/>
      <c r="D72" s="376"/>
      <c r="E72" s="376"/>
      <c r="F72" s="378" t="s">
        <v>71</v>
      </c>
      <c r="G72" s="458">
        <f>AVERAGE(G60:G71)</f>
        <v>27.970661926173147</v>
      </c>
      <c r="H72" s="379">
        <f>AVERAGE(H60:H71)</f>
        <v>0.93235539753910501</v>
      </c>
    </row>
    <row r="73" spans="1:8" ht="26.25" customHeight="1" x14ac:dyDescent="0.4">
      <c r="C73" s="376"/>
      <c r="D73" s="376"/>
      <c r="E73" s="376"/>
      <c r="F73" s="380" t="s">
        <v>84</v>
      </c>
      <c r="G73" s="454">
        <f>STDEV(G60:G71)/G72</f>
        <v>1.7933752815054532E-2</v>
      </c>
      <c r="H73" s="454">
        <f>STDEV(H60:H71)/H72</f>
        <v>1.7933752815054528E-2</v>
      </c>
    </row>
    <row r="74" spans="1:8" ht="27" customHeight="1" x14ac:dyDescent="0.4">
      <c r="A74" s="376"/>
      <c r="B74" s="376"/>
      <c r="C74" s="377"/>
      <c r="D74" s="377"/>
      <c r="E74" s="381"/>
      <c r="F74" s="382" t="s">
        <v>20</v>
      </c>
      <c r="G74" s="383">
        <f>COUNT(G60:G71)</f>
        <v>7</v>
      </c>
      <c r="H74" s="383">
        <f>COUNT(H60:H71)</f>
        <v>7</v>
      </c>
    </row>
    <row r="76" spans="1:8" ht="26.25" customHeight="1" x14ac:dyDescent="0.4">
      <c r="A76" s="289" t="s">
        <v>106</v>
      </c>
      <c r="B76" s="384" t="s">
        <v>107</v>
      </c>
      <c r="C76" s="686" t="str">
        <f>B20</f>
        <v xml:space="preserve">Rifampicin, Isoniazid, Pyrazinamide 
</v>
      </c>
      <c r="D76" s="686"/>
      <c r="E76" s="385" t="s">
        <v>108</v>
      </c>
      <c r="F76" s="385"/>
      <c r="G76" s="386">
        <f>H72</f>
        <v>0.93235539753910501</v>
      </c>
      <c r="H76" s="387"/>
    </row>
    <row r="77" spans="1:8" ht="18.75" x14ac:dyDescent="0.3">
      <c r="A77" s="288" t="s">
        <v>109</v>
      </c>
      <c r="B77" s="288" t="s">
        <v>110</v>
      </c>
    </row>
    <row r="78" spans="1:8" ht="18.75" x14ac:dyDescent="0.3">
      <c r="A78" s="288"/>
      <c r="B78" s="288"/>
    </row>
    <row r="79" spans="1:8" ht="26.25" customHeight="1" x14ac:dyDescent="0.4">
      <c r="A79" s="289" t="s">
        <v>4</v>
      </c>
      <c r="B79" s="672" t="str">
        <f>B26</f>
        <v>Isoniazid</v>
      </c>
      <c r="C79" s="672"/>
    </row>
    <row r="80" spans="1:8" ht="26.25" customHeight="1" x14ac:dyDescent="0.4">
      <c r="A80" s="290" t="s">
        <v>48</v>
      </c>
      <c r="B80" s="672" t="str">
        <f>B27</f>
        <v>I8-2</v>
      </c>
      <c r="C80" s="672"/>
    </row>
    <row r="81" spans="1:12" ht="27" customHeight="1" x14ac:dyDescent="0.4">
      <c r="A81" s="290" t="s">
        <v>6</v>
      </c>
      <c r="B81" s="388">
        <f>B28</f>
        <v>98.5</v>
      </c>
    </row>
    <row r="82" spans="1:12" s="14" customFormat="1" ht="27" customHeight="1" x14ac:dyDescent="0.4">
      <c r="A82" s="290" t="s">
        <v>49</v>
      </c>
      <c r="B82" s="292">
        <v>0</v>
      </c>
      <c r="C82" s="663" t="s">
        <v>50</v>
      </c>
      <c r="D82" s="664"/>
      <c r="E82" s="664"/>
      <c r="F82" s="664"/>
      <c r="G82" s="665"/>
      <c r="I82" s="293"/>
      <c r="J82" s="293"/>
      <c r="K82" s="293"/>
      <c r="L82" s="293"/>
    </row>
    <row r="83" spans="1:12" s="14" customFormat="1" ht="19.5" customHeight="1" x14ac:dyDescent="0.3">
      <c r="A83" s="290" t="s">
        <v>51</v>
      </c>
      <c r="B83" s="294">
        <f>B81-B82</f>
        <v>98.5</v>
      </c>
      <c r="C83" s="295"/>
      <c r="D83" s="295"/>
      <c r="E83" s="295"/>
      <c r="F83" s="295"/>
      <c r="G83" s="296"/>
      <c r="I83" s="293"/>
      <c r="J83" s="293"/>
      <c r="K83" s="293"/>
      <c r="L83" s="293"/>
    </row>
    <row r="84" spans="1:12" s="14" customFormat="1" ht="27" customHeight="1" x14ac:dyDescent="0.4">
      <c r="A84" s="290" t="s">
        <v>52</v>
      </c>
      <c r="B84" s="297">
        <v>1</v>
      </c>
      <c r="C84" s="666" t="s">
        <v>111</v>
      </c>
      <c r="D84" s="667"/>
      <c r="E84" s="667"/>
      <c r="F84" s="667"/>
      <c r="G84" s="667"/>
      <c r="H84" s="668"/>
      <c r="I84" s="293"/>
      <c r="J84" s="293"/>
      <c r="K84" s="293"/>
      <c r="L84" s="293"/>
    </row>
    <row r="85" spans="1:12" s="14" customFormat="1" ht="27" customHeight="1" x14ac:dyDescent="0.4">
      <c r="A85" s="290" t="s">
        <v>54</v>
      </c>
      <c r="B85" s="297">
        <v>1</v>
      </c>
      <c r="C85" s="666" t="s">
        <v>112</v>
      </c>
      <c r="D85" s="667"/>
      <c r="E85" s="667"/>
      <c r="F85" s="667"/>
      <c r="G85" s="667"/>
      <c r="H85" s="668"/>
      <c r="I85" s="293"/>
      <c r="J85" s="293"/>
      <c r="K85" s="293"/>
      <c r="L85" s="293"/>
    </row>
    <row r="86" spans="1:12" s="14" customFormat="1" ht="18.75" x14ac:dyDescent="0.3">
      <c r="A86" s="290"/>
      <c r="B86" s="300"/>
      <c r="C86" s="301"/>
      <c r="D86" s="301"/>
      <c r="E86" s="301"/>
      <c r="F86" s="301"/>
      <c r="G86" s="301"/>
      <c r="H86" s="301"/>
      <c r="I86" s="293"/>
      <c r="J86" s="293"/>
      <c r="K86" s="293"/>
      <c r="L86" s="293"/>
    </row>
    <row r="87" spans="1:12" s="14" customFormat="1" ht="18.75" x14ac:dyDescent="0.3">
      <c r="A87" s="290" t="s">
        <v>56</v>
      </c>
      <c r="B87" s="302">
        <f>B84/B85</f>
        <v>1</v>
      </c>
      <c r="C87" s="281" t="s">
        <v>57</v>
      </c>
      <c r="D87" s="281"/>
      <c r="E87" s="281"/>
      <c r="F87" s="281"/>
      <c r="G87" s="281"/>
      <c r="I87" s="293"/>
      <c r="J87" s="293"/>
      <c r="K87" s="293"/>
      <c r="L87" s="293"/>
    </row>
    <row r="88" spans="1:12" ht="19.5" customHeight="1" x14ac:dyDescent="0.3">
      <c r="A88" s="288"/>
      <c r="B88" s="288"/>
    </row>
    <row r="89" spans="1:12" ht="27" customHeight="1" x14ac:dyDescent="0.4">
      <c r="A89" s="303" t="s">
        <v>58</v>
      </c>
      <c r="B89" s="304">
        <v>100</v>
      </c>
      <c r="D89" s="389" t="s">
        <v>59</v>
      </c>
      <c r="E89" s="390"/>
      <c r="F89" s="669" t="s">
        <v>60</v>
      </c>
      <c r="G89" s="671"/>
    </row>
    <row r="90" spans="1:12" ht="27" customHeight="1" x14ac:dyDescent="0.4">
      <c r="A90" s="305" t="s">
        <v>61</v>
      </c>
      <c r="B90" s="306">
        <v>10</v>
      </c>
      <c r="C90" s="391" t="s">
        <v>62</v>
      </c>
      <c r="D90" s="308" t="s">
        <v>63</v>
      </c>
      <c r="E90" s="309" t="s">
        <v>64</v>
      </c>
      <c r="F90" s="308" t="s">
        <v>63</v>
      </c>
      <c r="G90" s="392" t="s">
        <v>64</v>
      </c>
      <c r="I90" s="311" t="s">
        <v>65</v>
      </c>
    </row>
    <row r="91" spans="1:12" ht="26.25" customHeight="1" x14ac:dyDescent="0.4">
      <c r="A91" s="305" t="s">
        <v>66</v>
      </c>
      <c r="B91" s="306">
        <v>25</v>
      </c>
      <c r="C91" s="393">
        <v>1</v>
      </c>
      <c r="D91" s="494">
        <v>3070338</v>
      </c>
      <c r="E91" s="313">
        <f>IF(ISBLANK(D91),"-",$D$101/$D$98*D91)</f>
        <v>2634461.1361085656</v>
      </c>
      <c r="F91" s="494">
        <v>2521134</v>
      </c>
      <c r="G91" s="314">
        <f>IF(ISBLANK(F91),"-",$D$101/$F$98*F91)</f>
        <v>2626772.2737615965</v>
      </c>
      <c r="I91" s="315"/>
    </row>
    <row r="92" spans="1:12" ht="26.25" customHeight="1" x14ac:dyDescent="0.4">
      <c r="A92" s="305" t="s">
        <v>67</v>
      </c>
      <c r="B92" s="306">
        <v>1</v>
      </c>
      <c r="C92" s="377">
        <v>2</v>
      </c>
      <c r="D92" s="499">
        <v>3086043</v>
      </c>
      <c r="E92" s="318">
        <f>IF(ISBLANK(D92),"-",$D$101/$D$98*D92)</f>
        <v>2647936.5945573049</v>
      </c>
      <c r="F92" s="499">
        <v>2521678</v>
      </c>
      <c r="G92" s="319">
        <f>IF(ISBLANK(F92),"-",$D$101/$F$98*F92)</f>
        <v>2627339.067956957</v>
      </c>
      <c r="I92" s="673">
        <f>ABS((F96/D96*D95)-F95)/D95</f>
        <v>2.8616081943513426E-3</v>
      </c>
    </row>
    <row r="93" spans="1:12" ht="26.25" customHeight="1" x14ac:dyDescent="0.4">
      <c r="A93" s="305" t="s">
        <v>68</v>
      </c>
      <c r="B93" s="306">
        <v>1</v>
      </c>
      <c r="C93" s="377">
        <v>3</v>
      </c>
      <c r="D93" s="499">
        <v>3070434</v>
      </c>
      <c r="E93" s="318">
        <f>IF(ISBLANK(D93),"-",$D$101/$D$98*D93)</f>
        <v>2634543.5075833243</v>
      </c>
      <c r="F93" s="499">
        <v>2529338</v>
      </c>
      <c r="G93" s="319">
        <f>IF(ISBLANK(F93),"-",$D$101/$F$98*F93)</f>
        <v>2635320.0303401602</v>
      </c>
      <c r="I93" s="673"/>
    </row>
    <row r="94" spans="1:12" ht="27" customHeight="1" x14ac:dyDescent="0.4">
      <c r="A94" s="305" t="s">
        <v>69</v>
      </c>
      <c r="B94" s="306">
        <v>1</v>
      </c>
      <c r="C94" s="394">
        <v>4</v>
      </c>
      <c r="D94" s="322"/>
      <c r="E94" s="323" t="str">
        <f>IF(ISBLANK(D94),"-",$D$101/$D$98*D94)</f>
        <v>-</v>
      </c>
      <c r="F94" s="395"/>
      <c r="G94" s="324" t="str">
        <f>IF(ISBLANK(F94),"-",$D$101/$F$98*F94)</f>
        <v>-</v>
      </c>
      <c r="I94" s="325"/>
    </row>
    <row r="95" spans="1:12" ht="27" customHeight="1" x14ac:dyDescent="0.4">
      <c r="A95" s="305" t="s">
        <v>70</v>
      </c>
      <c r="B95" s="306">
        <v>1</v>
      </c>
      <c r="C95" s="396" t="s">
        <v>71</v>
      </c>
      <c r="D95" s="397">
        <f>AVERAGE(D91:D94)</f>
        <v>3075605</v>
      </c>
      <c r="E95" s="328">
        <f>AVERAGE(E91:E94)</f>
        <v>2638980.4127497314</v>
      </c>
      <c r="F95" s="398">
        <f>AVERAGE(F91:F94)</f>
        <v>2524050</v>
      </c>
      <c r="G95" s="399">
        <f>AVERAGE(G91:G94)</f>
        <v>2629810.4573529046</v>
      </c>
    </row>
    <row r="96" spans="1:12" ht="26.25" customHeight="1" x14ac:dyDescent="0.4">
      <c r="A96" s="305" t="s">
        <v>72</v>
      </c>
      <c r="B96" s="291">
        <v>1</v>
      </c>
      <c r="C96" s="400" t="s">
        <v>113</v>
      </c>
      <c r="D96" s="401">
        <v>9.86</v>
      </c>
      <c r="E96" s="320"/>
      <c r="F96" s="332">
        <v>8.1199999999999992</v>
      </c>
    </row>
    <row r="97" spans="1:10" ht="26.25" customHeight="1" x14ac:dyDescent="0.4">
      <c r="A97" s="305" t="s">
        <v>74</v>
      </c>
      <c r="B97" s="291">
        <v>1</v>
      </c>
      <c r="C97" s="402" t="s">
        <v>114</v>
      </c>
      <c r="D97" s="403">
        <f>D96*$B$87</f>
        <v>9.86</v>
      </c>
      <c r="E97" s="335"/>
      <c r="F97" s="334">
        <f>F96*$B$87</f>
        <v>8.1199999999999992</v>
      </c>
    </row>
    <row r="98" spans="1:10" ht="19.5" customHeight="1" x14ac:dyDescent="0.3">
      <c r="A98" s="305" t="s">
        <v>76</v>
      </c>
      <c r="B98" s="404">
        <f>(B97/B96)*(B95/B94)*(B93/B92)*(B91/B90)*B89</f>
        <v>250</v>
      </c>
      <c r="C98" s="402" t="s">
        <v>115</v>
      </c>
      <c r="D98" s="405">
        <f>D97*$B$83/100</f>
        <v>9.7120999999999995</v>
      </c>
      <c r="E98" s="338"/>
      <c r="F98" s="337">
        <f>F97*$B$83/100</f>
        <v>7.9981999999999998</v>
      </c>
    </row>
    <row r="99" spans="1:10" ht="19.5" customHeight="1" x14ac:dyDescent="0.3">
      <c r="A99" s="674" t="s">
        <v>78</v>
      </c>
      <c r="B99" s="688"/>
      <c r="C99" s="402" t="s">
        <v>116</v>
      </c>
      <c r="D99" s="406">
        <f>D98/$B$98</f>
        <v>3.8848399999999998E-2</v>
      </c>
      <c r="E99" s="338"/>
      <c r="F99" s="341">
        <f>F98/$B$98</f>
        <v>3.1992800000000002E-2</v>
      </c>
      <c r="G99" s="407"/>
      <c r="H99" s="330"/>
    </row>
    <row r="100" spans="1:10" ht="19.5" customHeight="1" x14ac:dyDescent="0.3">
      <c r="A100" s="676"/>
      <c r="B100" s="689"/>
      <c r="C100" s="402" t="s">
        <v>80</v>
      </c>
      <c r="D100" s="408">
        <f>$B$56/$B$116</f>
        <v>3.3333333333333333E-2</v>
      </c>
      <c r="F100" s="346"/>
      <c r="G100" s="409"/>
      <c r="H100" s="330"/>
    </row>
    <row r="101" spans="1:10" ht="18.75" x14ac:dyDescent="0.3">
      <c r="C101" s="402" t="s">
        <v>81</v>
      </c>
      <c r="D101" s="403">
        <f>D100*$B$98</f>
        <v>8.3333333333333339</v>
      </c>
      <c r="F101" s="346"/>
      <c r="G101" s="407"/>
      <c r="H101" s="330"/>
    </row>
    <row r="102" spans="1:10" ht="19.5" customHeight="1" x14ac:dyDescent="0.3">
      <c r="C102" s="410" t="s">
        <v>82</v>
      </c>
      <c r="D102" s="411">
        <f>D101/B34</f>
        <v>8.3333333333333339</v>
      </c>
      <c r="F102" s="350"/>
      <c r="G102" s="407"/>
      <c r="H102" s="330"/>
      <c r="J102" s="412"/>
    </row>
    <row r="103" spans="1:10" ht="18.75" x14ac:dyDescent="0.3">
      <c r="C103" s="413" t="s">
        <v>117</v>
      </c>
      <c r="D103" s="414">
        <f>AVERAGE(E91:E94,G91:G94)</f>
        <v>2634395.4350513183</v>
      </c>
      <c r="F103" s="350"/>
      <c r="G103" s="415"/>
      <c r="H103" s="330"/>
      <c r="J103" s="416"/>
    </row>
    <row r="104" spans="1:10" ht="18.75" x14ac:dyDescent="0.3">
      <c r="C104" s="380" t="s">
        <v>84</v>
      </c>
      <c r="D104" s="417">
        <f>STDEV(E91:E94,G91:G94)/D103</f>
        <v>2.9015913809756553E-3</v>
      </c>
      <c r="F104" s="350"/>
      <c r="G104" s="407"/>
      <c r="H104" s="330"/>
      <c r="J104" s="416"/>
    </row>
    <row r="105" spans="1:10" ht="19.5" customHeight="1" x14ac:dyDescent="0.3">
      <c r="C105" s="382" t="s">
        <v>20</v>
      </c>
      <c r="D105" s="418">
        <f>COUNT(E91:E94,G91:G94)</f>
        <v>6</v>
      </c>
      <c r="F105" s="350"/>
      <c r="G105" s="407"/>
      <c r="H105" s="330"/>
      <c r="J105" s="416"/>
    </row>
    <row r="106" spans="1:10" ht="19.5" customHeight="1" x14ac:dyDescent="0.3">
      <c r="A106" s="354"/>
      <c r="B106" s="354"/>
      <c r="C106" s="354"/>
      <c r="D106" s="354"/>
      <c r="E106" s="354"/>
    </row>
    <row r="107" spans="1:10" ht="26.25" customHeight="1" x14ac:dyDescent="0.4">
      <c r="A107" s="303" t="s">
        <v>118</v>
      </c>
      <c r="B107" s="304">
        <v>900</v>
      </c>
      <c r="C107" s="419" t="s">
        <v>119</v>
      </c>
      <c r="D107" s="420" t="s">
        <v>63</v>
      </c>
      <c r="E107" s="421" t="s">
        <v>120</v>
      </c>
      <c r="F107" s="422" t="s">
        <v>121</v>
      </c>
    </row>
    <row r="108" spans="1:10" ht="26.25" customHeight="1" x14ac:dyDescent="0.4">
      <c r="A108" s="305" t="s">
        <v>122</v>
      </c>
      <c r="B108" s="306">
        <v>1</v>
      </c>
      <c r="C108" s="423">
        <v>1</v>
      </c>
      <c r="D108" s="424">
        <v>2301441</v>
      </c>
      <c r="E108" s="455">
        <f t="shared" ref="E108:E113" si="1">IF(ISBLANK(D108),"-",D108/$D$103*$D$100*$B$116)</f>
        <v>26.20837748250009</v>
      </c>
      <c r="F108" s="425">
        <f t="shared" ref="F108:F113" si="2">IF(ISBLANK(D108), "-", E108/$B$56)</f>
        <v>0.87361258275000298</v>
      </c>
    </row>
    <row r="109" spans="1:10" ht="26.25" customHeight="1" x14ac:dyDescent="0.4">
      <c r="A109" s="305" t="s">
        <v>95</v>
      </c>
      <c r="B109" s="306">
        <v>1</v>
      </c>
      <c r="C109" s="423">
        <v>2</v>
      </c>
      <c r="D109" s="424">
        <v>2438290</v>
      </c>
      <c r="E109" s="456">
        <f t="shared" si="1"/>
        <v>27.76678816958816</v>
      </c>
      <c r="F109" s="426">
        <f t="shared" si="2"/>
        <v>0.92555960565293871</v>
      </c>
    </row>
    <row r="110" spans="1:10" ht="26.25" customHeight="1" x14ac:dyDescent="0.4">
      <c r="A110" s="305" t="s">
        <v>96</v>
      </c>
      <c r="B110" s="306">
        <v>1</v>
      </c>
      <c r="C110" s="423">
        <v>3</v>
      </c>
      <c r="D110" s="424">
        <v>2324210</v>
      </c>
      <c r="E110" s="456">
        <f t="shared" si="1"/>
        <v>26.467666574377329</v>
      </c>
      <c r="F110" s="426">
        <f t="shared" si="2"/>
        <v>0.88225555247924425</v>
      </c>
    </row>
    <row r="111" spans="1:10" ht="26.25" customHeight="1" x14ac:dyDescent="0.4">
      <c r="A111" s="305" t="s">
        <v>97</v>
      </c>
      <c r="B111" s="306">
        <v>1</v>
      </c>
      <c r="C111" s="423">
        <v>4</v>
      </c>
      <c r="D111" s="424">
        <v>2377652</v>
      </c>
      <c r="E111" s="456">
        <f t="shared" si="1"/>
        <v>27.076254024335753</v>
      </c>
      <c r="F111" s="426">
        <f t="shared" si="2"/>
        <v>0.90254180081119173</v>
      </c>
    </row>
    <row r="112" spans="1:10" ht="26.25" customHeight="1" x14ac:dyDescent="0.4">
      <c r="A112" s="305" t="s">
        <v>98</v>
      </c>
      <c r="B112" s="306">
        <v>1</v>
      </c>
      <c r="C112" s="423">
        <v>5</v>
      </c>
      <c r="D112" s="424">
        <v>2294995</v>
      </c>
      <c r="E112" s="456">
        <f t="shared" si="1"/>
        <v>26.134971646220905</v>
      </c>
      <c r="F112" s="426">
        <f t="shared" si="2"/>
        <v>0.87116572154069682</v>
      </c>
    </row>
    <row r="113" spans="1:10" ht="26.25" customHeight="1" x14ac:dyDescent="0.4">
      <c r="A113" s="305" t="s">
        <v>100</v>
      </c>
      <c r="B113" s="306">
        <v>1</v>
      </c>
      <c r="C113" s="427">
        <v>6</v>
      </c>
      <c r="D113" s="428">
        <v>2307041</v>
      </c>
      <c r="E113" s="457">
        <f t="shared" si="1"/>
        <v>26.27214922981058</v>
      </c>
      <c r="F113" s="429">
        <f t="shared" si="2"/>
        <v>0.87573830766035266</v>
      </c>
    </row>
    <row r="114" spans="1:10" ht="26.25" customHeight="1" x14ac:dyDescent="0.4">
      <c r="A114" s="305" t="s">
        <v>101</v>
      </c>
      <c r="B114" s="306">
        <v>1</v>
      </c>
      <c r="C114" s="423"/>
      <c r="D114" s="377"/>
      <c r="E114" s="280"/>
      <c r="F114" s="430"/>
    </row>
    <row r="115" spans="1:10" ht="26.25" customHeight="1" x14ac:dyDescent="0.4">
      <c r="A115" s="305" t="s">
        <v>102</v>
      </c>
      <c r="B115" s="306">
        <v>1</v>
      </c>
      <c r="C115" s="423"/>
      <c r="D115" s="431" t="s">
        <v>71</v>
      </c>
      <c r="E115" s="459">
        <f>AVERAGE(E108:E113)</f>
        <v>26.654367854472138</v>
      </c>
      <c r="F115" s="432">
        <f>AVERAGE(F108:F113)</f>
        <v>0.88847892848240451</v>
      </c>
    </row>
    <row r="116" spans="1:10" ht="27" customHeight="1" x14ac:dyDescent="0.4">
      <c r="A116" s="305" t="s">
        <v>103</v>
      </c>
      <c r="B116" s="336">
        <f>(B115/B114)*(B113/B112)*(B111/B110)*(B109/B108)*B107</f>
        <v>900</v>
      </c>
      <c r="C116" s="433"/>
      <c r="D116" s="396" t="s">
        <v>84</v>
      </c>
      <c r="E116" s="434">
        <f>STDEV(E108:E113)/E115</f>
        <v>2.4111079045296694E-2</v>
      </c>
      <c r="F116" s="434">
        <f>STDEV(F108:F113)/F115</f>
        <v>2.4111079045296711E-2</v>
      </c>
      <c r="I116" s="280"/>
    </row>
    <row r="117" spans="1:10" ht="27" customHeight="1" x14ac:dyDescent="0.4">
      <c r="A117" s="674" t="s">
        <v>78</v>
      </c>
      <c r="B117" s="675"/>
      <c r="C117" s="435"/>
      <c r="D117" s="436" t="s">
        <v>20</v>
      </c>
      <c r="E117" s="437">
        <f>COUNT(E108:E113)</f>
        <v>6</v>
      </c>
      <c r="F117" s="437">
        <f>COUNT(F108:F113)</f>
        <v>6</v>
      </c>
      <c r="I117" s="280"/>
      <c r="J117" s="416"/>
    </row>
    <row r="118" spans="1:10" ht="19.5" customHeight="1" x14ac:dyDescent="0.3">
      <c r="A118" s="676"/>
      <c r="B118" s="677"/>
      <c r="C118" s="280"/>
      <c r="D118" s="280"/>
      <c r="E118" s="280"/>
      <c r="F118" s="377"/>
      <c r="G118" s="280"/>
      <c r="H118" s="280"/>
      <c r="I118" s="280"/>
    </row>
    <row r="119" spans="1:10" ht="18.75" x14ac:dyDescent="0.3">
      <c r="A119" s="446"/>
      <c r="B119" s="301"/>
      <c r="C119" s="280"/>
      <c r="D119" s="280"/>
      <c r="E119" s="280"/>
      <c r="F119" s="377"/>
      <c r="G119" s="280"/>
      <c r="H119" s="280"/>
      <c r="I119" s="280"/>
    </row>
    <row r="120" spans="1:10" ht="26.25" customHeight="1" x14ac:dyDescent="0.4">
      <c r="A120" s="289" t="s">
        <v>106</v>
      </c>
      <c r="B120" s="384" t="s">
        <v>123</v>
      </c>
      <c r="C120" s="686" t="str">
        <f>B20</f>
        <v xml:space="preserve">Rifampicin, Isoniazid, Pyrazinamide 
</v>
      </c>
      <c r="D120" s="686"/>
      <c r="E120" s="385" t="s">
        <v>124</v>
      </c>
      <c r="F120" s="385"/>
      <c r="G120" s="386">
        <f>F115</f>
        <v>0.88847892848240451</v>
      </c>
      <c r="H120" s="280"/>
      <c r="I120" s="280"/>
    </row>
    <row r="121" spans="1:10" ht="19.5" customHeight="1" x14ac:dyDescent="0.3">
      <c r="A121" s="438"/>
      <c r="B121" s="438"/>
      <c r="C121" s="439"/>
      <c r="D121" s="439"/>
      <c r="E121" s="439"/>
      <c r="F121" s="439"/>
      <c r="G121" s="439"/>
      <c r="H121" s="439"/>
    </row>
    <row r="122" spans="1:10" ht="18.75" x14ac:dyDescent="0.3">
      <c r="B122" s="687" t="s">
        <v>26</v>
      </c>
      <c r="C122" s="687"/>
      <c r="E122" s="391" t="s">
        <v>27</v>
      </c>
      <c r="F122" s="440"/>
      <c r="G122" s="687" t="s">
        <v>28</v>
      </c>
      <c r="H122" s="687"/>
    </row>
    <row r="123" spans="1:10" ht="69.95" customHeight="1" x14ac:dyDescent="0.3">
      <c r="A123" s="441" t="s">
        <v>29</v>
      </c>
      <c r="B123" s="442"/>
      <c r="C123" s="442"/>
      <c r="E123" s="442"/>
      <c r="F123" s="280"/>
      <c r="G123" s="443"/>
      <c r="H123" s="443"/>
    </row>
    <row r="124" spans="1:10" ht="69.95" customHeight="1" x14ac:dyDescent="0.3">
      <c r="A124" s="441" t="s">
        <v>30</v>
      </c>
      <c r="B124" s="444"/>
      <c r="C124" s="444"/>
      <c r="E124" s="444"/>
      <c r="F124" s="280"/>
      <c r="G124" s="445"/>
      <c r="H124" s="445"/>
    </row>
    <row r="125" spans="1:10" ht="18.75" x14ac:dyDescent="0.3">
      <c r="A125" s="376"/>
      <c r="B125" s="376"/>
      <c r="C125" s="377"/>
      <c r="D125" s="377"/>
      <c r="E125" s="377"/>
      <c r="F125" s="381"/>
      <c r="G125" s="377"/>
      <c r="H125" s="377"/>
      <c r="I125" s="280"/>
    </row>
    <row r="126" spans="1:10" ht="18.75" x14ac:dyDescent="0.3">
      <c r="A126" s="376"/>
      <c r="B126" s="376"/>
      <c r="C126" s="377"/>
      <c r="D126" s="377"/>
      <c r="E126" s="377"/>
      <c r="F126" s="381"/>
      <c r="G126" s="377"/>
      <c r="H126" s="377"/>
      <c r="I126" s="280"/>
    </row>
    <row r="127" spans="1:10" ht="18.75" x14ac:dyDescent="0.3">
      <c r="A127" s="376"/>
      <c r="B127" s="376"/>
      <c r="C127" s="377"/>
      <c r="D127" s="377"/>
      <c r="E127" s="377"/>
      <c r="F127" s="381"/>
      <c r="G127" s="377"/>
      <c r="H127" s="377"/>
      <c r="I127" s="280"/>
    </row>
    <row r="128" spans="1:10" ht="18.75" x14ac:dyDescent="0.3">
      <c r="A128" s="376"/>
      <c r="B128" s="376"/>
      <c r="C128" s="377"/>
      <c r="D128" s="377"/>
      <c r="E128" s="377"/>
      <c r="F128" s="381"/>
      <c r="G128" s="377"/>
      <c r="H128" s="377"/>
      <c r="I128" s="280"/>
    </row>
    <row r="129" spans="1:9" ht="18.75" x14ac:dyDescent="0.3">
      <c r="A129" s="376"/>
      <c r="B129" s="376"/>
      <c r="C129" s="377"/>
      <c r="D129" s="377"/>
      <c r="E129" s="377"/>
      <c r="F129" s="381"/>
      <c r="G129" s="377"/>
      <c r="H129" s="377"/>
      <c r="I129" s="280"/>
    </row>
    <row r="130" spans="1:9" ht="18.75" x14ac:dyDescent="0.3">
      <c r="A130" s="376"/>
      <c r="B130" s="376"/>
      <c r="C130" s="377"/>
      <c r="D130" s="377"/>
      <c r="E130" s="377"/>
      <c r="F130" s="381"/>
      <c r="G130" s="377"/>
      <c r="H130" s="377"/>
      <c r="I130" s="280"/>
    </row>
    <row r="131" spans="1:9" ht="18.75" x14ac:dyDescent="0.3">
      <c r="A131" s="376"/>
      <c r="B131" s="376"/>
      <c r="C131" s="377"/>
      <c r="D131" s="377"/>
      <c r="E131" s="377"/>
      <c r="F131" s="381"/>
      <c r="G131" s="377"/>
      <c r="H131" s="377"/>
      <c r="I131" s="280"/>
    </row>
    <row r="132" spans="1:9" ht="18.75" x14ac:dyDescent="0.3">
      <c r="A132" s="376"/>
      <c r="B132" s="376"/>
      <c r="C132" s="377"/>
      <c r="D132" s="377"/>
      <c r="E132" s="377"/>
      <c r="F132" s="381"/>
      <c r="G132" s="377"/>
      <c r="H132" s="377"/>
      <c r="I132" s="280"/>
    </row>
    <row r="133" spans="1:9" ht="18.75" x14ac:dyDescent="0.3">
      <c r="A133" s="376"/>
      <c r="B133" s="376"/>
      <c r="C133" s="377"/>
      <c r="D133" s="377"/>
      <c r="E133" s="377"/>
      <c r="F133" s="381"/>
      <c r="G133" s="377"/>
      <c r="H133" s="377"/>
      <c r="I133" s="280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7" zoomScale="60" zoomScaleNormal="40" zoomScalePageLayoutView="55" workbookViewId="0">
      <selection activeCell="D117" sqref="D11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84" t="s">
        <v>45</v>
      </c>
      <c r="B1" s="684"/>
      <c r="C1" s="684"/>
      <c r="D1" s="684"/>
      <c r="E1" s="684"/>
      <c r="F1" s="684"/>
      <c r="G1" s="684"/>
      <c r="H1" s="684"/>
      <c r="I1" s="684"/>
    </row>
    <row r="2" spans="1:9" ht="18.75" customHeight="1" x14ac:dyDescent="0.25">
      <c r="A2" s="684"/>
      <c r="B2" s="684"/>
      <c r="C2" s="684"/>
      <c r="D2" s="684"/>
      <c r="E2" s="684"/>
      <c r="F2" s="684"/>
      <c r="G2" s="684"/>
      <c r="H2" s="684"/>
      <c r="I2" s="684"/>
    </row>
    <row r="3" spans="1:9" ht="18.75" customHeight="1" x14ac:dyDescent="0.25">
      <c r="A3" s="684"/>
      <c r="B3" s="684"/>
      <c r="C3" s="684"/>
      <c r="D3" s="684"/>
      <c r="E3" s="684"/>
      <c r="F3" s="684"/>
      <c r="G3" s="684"/>
      <c r="H3" s="684"/>
      <c r="I3" s="684"/>
    </row>
    <row r="4" spans="1:9" ht="18.75" customHeight="1" x14ac:dyDescent="0.25">
      <c r="A4" s="684"/>
      <c r="B4" s="684"/>
      <c r="C4" s="684"/>
      <c r="D4" s="684"/>
      <c r="E4" s="684"/>
      <c r="F4" s="684"/>
      <c r="G4" s="684"/>
      <c r="H4" s="684"/>
      <c r="I4" s="684"/>
    </row>
    <row r="5" spans="1:9" ht="18.75" customHeight="1" x14ac:dyDescent="0.25">
      <c r="A5" s="684"/>
      <c r="B5" s="684"/>
      <c r="C5" s="684"/>
      <c r="D5" s="684"/>
      <c r="E5" s="684"/>
      <c r="F5" s="684"/>
      <c r="G5" s="684"/>
      <c r="H5" s="684"/>
      <c r="I5" s="684"/>
    </row>
    <row r="6" spans="1:9" ht="18.75" customHeight="1" x14ac:dyDescent="0.25">
      <c r="A6" s="684"/>
      <c r="B6" s="684"/>
      <c r="C6" s="684"/>
      <c r="D6" s="684"/>
      <c r="E6" s="684"/>
      <c r="F6" s="684"/>
      <c r="G6" s="684"/>
      <c r="H6" s="684"/>
      <c r="I6" s="684"/>
    </row>
    <row r="7" spans="1:9" ht="18.75" customHeight="1" x14ac:dyDescent="0.25">
      <c r="A7" s="684"/>
      <c r="B7" s="684"/>
      <c r="C7" s="684"/>
      <c r="D7" s="684"/>
      <c r="E7" s="684"/>
      <c r="F7" s="684"/>
      <c r="G7" s="684"/>
      <c r="H7" s="684"/>
      <c r="I7" s="684"/>
    </row>
    <row r="8" spans="1:9" x14ac:dyDescent="0.25">
      <c r="A8" s="685" t="s">
        <v>46</v>
      </c>
      <c r="B8" s="685"/>
      <c r="C8" s="685"/>
      <c r="D8" s="685"/>
      <c r="E8" s="685"/>
      <c r="F8" s="685"/>
      <c r="G8" s="685"/>
      <c r="H8" s="685"/>
      <c r="I8" s="685"/>
    </row>
    <row r="9" spans="1:9" x14ac:dyDescent="0.25">
      <c r="A9" s="685"/>
      <c r="B9" s="685"/>
      <c r="C9" s="685"/>
      <c r="D9" s="685"/>
      <c r="E9" s="685"/>
      <c r="F9" s="685"/>
      <c r="G9" s="685"/>
      <c r="H9" s="685"/>
      <c r="I9" s="685"/>
    </row>
    <row r="10" spans="1:9" x14ac:dyDescent="0.25">
      <c r="A10" s="685"/>
      <c r="B10" s="685"/>
      <c r="C10" s="685"/>
      <c r="D10" s="685"/>
      <c r="E10" s="685"/>
      <c r="F10" s="685"/>
      <c r="G10" s="685"/>
      <c r="H10" s="685"/>
      <c r="I10" s="685"/>
    </row>
    <row r="11" spans="1:9" x14ac:dyDescent="0.25">
      <c r="A11" s="685"/>
      <c r="B11" s="685"/>
      <c r="C11" s="685"/>
      <c r="D11" s="685"/>
      <c r="E11" s="685"/>
      <c r="F11" s="685"/>
      <c r="G11" s="685"/>
      <c r="H11" s="685"/>
      <c r="I11" s="685"/>
    </row>
    <row r="12" spans="1:9" x14ac:dyDescent="0.25">
      <c r="A12" s="685"/>
      <c r="B12" s="685"/>
      <c r="C12" s="685"/>
      <c r="D12" s="685"/>
      <c r="E12" s="685"/>
      <c r="F12" s="685"/>
      <c r="G12" s="685"/>
      <c r="H12" s="685"/>
      <c r="I12" s="685"/>
    </row>
    <row r="13" spans="1:9" x14ac:dyDescent="0.25">
      <c r="A13" s="685"/>
      <c r="B13" s="685"/>
      <c r="C13" s="685"/>
      <c r="D13" s="685"/>
      <c r="E13" s="685"/>
      <c r="F13" s="685"/>
      <c r="G13" s="685"/>
      <c r="H13" s="685"/>
      <c r="I13" s="685"/>
    </row>
    <row r="14" spans="1:9" x14ac:dyDescent="0.25">
      <c r="A14" s="685"/>
      <c r="B14" s="685"/>
      <c r="C14" s="685"/>
      <c r="D14" s="685"/>
      <c r="E14" s="685"/>
      <c r="F14" s="685"/>
      <c r="G14" s="685"/>
      <c r="H14" s="685"/>
      <c r="I14" s="685"/>
    </row>
    <row r="15" spans="1:9" ht="19.5" customHeight="1" x14ac:dyDescent="0.3">
      <c r="A15" s="461"/>
    </row>
    <row r="16" spans="1:9" ht="19.5" customHeight="1" x14ac:dyDescent="0.3">
      <c r="A16" s="657" t="s">
        <v>31</v>
      </c>
      <c r="B16" s="658"/>
      <c r="C16" s="658"/>
      <c r="D16" s="658"/>
      <c r="E16" s="658"/>
      <c r="F16" s="658"/>
      <c r="G16" s="658"/>
      <c r="H16" s="659"/>
    </row>
    <row r="17" spans="1:14" ht="20.25" customHeight="1" x14ac:dyDescent="0.25">
      <c r="A17" s="660" t="s">
        <v>47</v>
      </c>
      <c r="B17" s="660"/>
      <c r="C17" s="660"/>
      <c r="D17" s="660"/>
      <c r="E17" s="660"/>
      <c r="F17" s="660"/>
      <c r="G17" s="660"/>
      <c r="H17" s="660"/>
    </row>
    <row r="18" spans="1:14" ht="26.25" customHeight="1" x14ac:dyDescent="0.4">
      <c r="A18" s="463" t="s">
        <v>33</v>
      </c>
      <c r="B18" s="656" t="s">
        <v>5</v>
      </c>
      <c r="C18" s="656"/>
      <c r="D18" s="629"/>
      <c r="E18" s="464"/>
      <c r="F18" s="465"/>
      <c r="G18" s="465"/>
      <c r="H18" s="465"/>
    </row>
    <row r="19" spans="1:14" ht="26.25" customHeight="1" x14ac:dyDescent="0.4">
      <c r="A19" s="463" t="s">
        <v>34</v>
      </c>
      <c r="B19" s="466" t="s">
        <v>7</v>
      </c>
      <c r="C19" s="642">
        <v>29</v>
      </c>
      <c r="D19" s="465"/>
      <c r="E19" s="465"/>
      <c r="F19" s="465"/>
      <c r="G19" s="465"/>
      <c r="H19" s="465"/>
    </row>
    <row r="20" spans="1:14" ht="26.25" customHeight="1" x14ac:dyDescent="0.4">
      <c r="A20" s="463" t="s">
        <v>35</v>
      </c>
      <c r="B20" s="661" t="s">
        <v>9</v>
      </c>
      <c r="C20" s="661"/>
      <c r="D20" s="465"/>
      <c r="E20" s="465"/>
      <c r="F20" s="465"/>
      <c r="G20" s="465"/>
      <c r="H20" s="465"/>
    </row>
    <row r="21" spans="1:14" ht="26.25" customHeight="1" x14ac:dyDescent="0.4">
      <c r="A21" s="463" t="s">
        <v>36</v>
      </c>
      <c r="B21" s="661" t="s">
        <v>11</v>
      </c>
      <c r="C21" s="661"/>
      <c r="D21" s="661"/>
      <c r="E21" s="661"/>
      <c r="F21" s="661"/>
      <c r="G21" s="661"/>
      <c r="H21" s="661"/>
      <c r="I21" s="467"/>
    </row>
    <row r="22" spans="1:14" ht="26.25" customHeight="1" x14ac:dyDescent="0.4">
      <c r="A22" s="463" t="s">
        <v>37</v>
      </c>
      <c r="B22" s="645">
        <v>42531.493668981479</v>
      </c>
      <c r="C22" s="465"/>
      <c r="D22" s="465"/>
      <c r="E22" s="465"/>
      <c r="F22" s="465"/>
      <c r="G22" s="465"/>
      <c r="H22" s="465"/>
    </row>
    <row r="23" spans="1:14" ht="26.25" customHeight="1" x14ac:dyDescent="0.4">
      <c r="A23" s="463" t="s">
        <v>38</v>
      </c>
      <c r="B23" s="645">
        <v>42535.41033564815</v>
      </c>
      <c r="C23" s="465"/>
      <c r="D23" s="465"/>
      <c r="E23" s="465"/>
      <c r="F23" s="465"/>
      <c r="G23" s="465"/>
      <c r="H23" s="465"/>
    </row>
    <row r="24" spans="1:14" ht="18.75" x14ac:dyDescent="0.3">
      <c r="A24" s="463"/>
      <c r="B24" s="468"/>
    </row>
    <row r="25" spans="1:14" ht="18.75" x14ac:dyDescent="0.3">
      <c r="A25" s="469" t="s">
        <v>1</v>
      </c>
      <c r="B25" s="468"/>
    </row>
    <row r="26" spans="1:14" ht="26.25" customHeight="1" x14ac:dyDescent="0.4">
      <c r="A26" s="470" t="s">
        <v>4</v>
      </c>
      <c r="B26" s="656" t="s">
        <v>130</v>
      </c>
      <c r="C26" s="656"/>
    </row>
    <row r="27" spans="1:14" ht="26.25" customHeight="1" x14ac:dyDescent="0.4">
      <c r="A27" s="471" t="s">
        <v>48</v>
      </c>
      <c r="B27" s="662" t="s">
        <v>131</v>
      </c>
      <c r="C27" s="662"/>
    </row>
    <row r="28" spans="1:14" ht="27" customHeight="1" x14ac:dyDescent="0.4">
      <c r="A28" s="471" t="s">
        <v>6</v>
      </c>
      <c r="B28" s="472">
        <v>99.5</v>
      </c>
    </row>
    <row r="29" spans="1:14" s="14" customFormat="1" ht="27" customHeight="1" x14ac:dyDescent="0.4">
      <c r="A29" s="471" t="s">
        <v>49</v>
      </c>
      <c r="B29" s="473">
        <v>0</v>
      </c>
      <c r="C29" s="663" t="s">
        <v>50</v>
      </c>
      <c r="D29" s="664"/>
      <c r="E29" s="664"/>
      <c r="F29" s="664"/>
      <c r="G29" s="665"/>
      <c r="I29" s="474"/>
      <c r="J29" s="474"/>
      <c r="K29" s="474"/>
      <c r="L29" s="474"/>
    </row>
    <row r="30" spans="1:14" s="14" customFormat="1" ht="19.5" customHeight="1" x14ac:dyDescent="0.3">
      <c r="A30" s="471" t="s">
        <v>51</v>
      </c>
      <c r="B30" s="475">
        <f>B28-B29</f>
        <v>99.5</v>
      </c>
      <c r="C30" s="476"/>
      <c r="D30" s="476"/>
      <c r="E30" s="476"/>
      <c r="F30" s="476"/>
      <c r="G30" s="477"/>
      <c r="I30" s="474"/>
      <c r="J30" s="474"/>
      <c r="K30" s="474"/>
      <c r="L30" s="474"/>
    </row>
    <row r="31" spans="1:14" s="14" customFormat="1" ht="27" customHeight="1" x14ac:dyDescent="0.4">
      <c r="A31" s="471" t="s">
        <v>52</v>
      </c>
      <c r="B31" s="478">
        <v>1</v>
      </c>
      <c r="C31" s="666" t="s">
        <v>53</v>
      </c>
      <c r="D31" s="667"/>
      <c r="E31" s="667"/>
      <c r="F31" s="667"/>
      <c r="G31" s="667"/>
      <c r="H31" s="668"/>
      <c r="I31" s="474"/>
      <c r="J31" s="474"/>
      <c r="K31" s="474"/>
      <c r="L31" s="474"/>
    </row>
    <row r="32" spans="1:14" s="14" customFormat="1" ht="27" customHeight="1" x14ac:dyDescent="0.4">
      <c r="A32" s="471" t="s">
        <v>54</v>
      </c>
      <c r="B32" s="478">
        <v>1</v>
      </c>
      <c r="C32" s="666" t="s">
        <v>55</v>
      </c>
      <c r="D32" s="667"/>
      <c r="E32" s="667"/>
      <c r="F32" s="667"/>
      <c r="G32" s="667"/>
      <c r="H32" s="668"/>
      <c r="I32" s="474"/>
      <c r="J32" s="474"/>
      <c r="K32" s="474"/>
      <c r="L32" s="479"/>
      <c r="M32" s="479"/>
      <c r="N32" s="480"/>
    </row>
    <row r="33" spans="1:14" s="14" customFormat="1" ht="17.25" customHeight="1" x14ac:dyDescent="0.3">
      <c r="A33" s="471"/>
      <c r="B33" s="481"/>
      <c r="C33" s="482"/>
      <c r="D33" s="482"/>
      <c r="E33" s="482"/>
      <c r="F33" s="482"/>
      <c r="G33" s="482"/>
      <c r="H33" s="482"/>
      <c r="I33" s="474"/>
      <c r="J33" s="474"/>
      <c r="K33" s="474"/>
      <c r="L33" s="479"/>
      <c r="M33" s="479"/>
      <c r="N33" s="480"/>
    </row>
    <row r="34" spans="1:14" s="14" customFormat="1" ht="18.75" x14ac:dyDescent="0.3">
      <c r="A34" s="471" t="s">
        <v>56</v>
      </c>
      <c r="B34" s="483">
        <f>B31/B32</f>
        <v>1</v>
      </c>
      <c r="C34" s="462" t="s">
        <v>57</v>
      </c>
      <c r="D34" s="462"/>
      <c r="E34" s="462"/>
      <c r="F34" s="462"/>
      <c r="G34" s="462"/>
      <c r="I34" s="474"/>
      <c r="J34" s="474"/>
      <c r="K34" s="474"/>
      <c r="L34" s="479"/>
      <c r="M34" s="479"/>
      <c r="N34" s="480"/>
    </row>
    <row r="35" spans="1:14" s="14" customFormat="1" ht="19.5" customHeight="1" x14ac:dyDescent="0.3">
      <c r="A35" s="471"/>
      <c r="B35" s="475"/>
      <c r="G35" s="462"/>
      <c r="I35" s="474"/>
      <c r="J35" s="474"/>
      <c r="K35" s="474"/>
      <c r="L35" s="479"/>
      <c r="M35" s="479"/>
      <c r="N35" s="480"/>
    </row>
    <row r="36" spans="1:14" s="14" customFormat="1" ht="27" customHeight="1" x14ac:dyDescent="0.4">
      <c r="A36" s="484" t="s">
        <v>58</v>
      </c>
      <c r="B36" s="485">
        <v>100</v>
      </c>
      <c r="C36" s="462"/>
      <c r="D36" s="669" t="s">
        <v>59</v>
      </c>
      <c r="E36" s="670"/>
      <c r="F36" s="669" t="s">
        <v>60</v>
      </c>
      <c r="G36" s="671"/>
      <c r="J36" s="474"/>
      <c r="K36" s="474"/>
      <c r="L36" s="479"/>
      <c r="M36" s="479"/>
      <c r="N36" s="480"/>
    </row>
    <row r="37" spans="1:14" s="14" customFormat="1" ht="27" customHeight="1" x14ac:dyDescent="0.4">
      <c r="A37" s="486" t="s">
        <v>61</v>
      </c>
      <c r="B37" s="487">
        <v>1</v>
      </c>
      <c r="C37" s="488" t="s">
        <v>62</v>
      </c>
      <c r="D37" s="489" t="s">
        <v>63</v>
      </c>
      <c r="E37" s="490" t="s">
        <v>64</v>
      </c>
      <c r="F37" s="489" t="s">
        <v>63</v>
      </c>
      <c r="G37" s="491" t="s">
        <v>64</v>
      </c>
      <c r="I37" s="492" t="s">
        <v>65</v>
      </c>
      <c r="J37" s="474"/>
      <c r="K37" s="474"/>
      <c r="L37" s="479"/>
      <c r="M37" s="479"/>
      <c r="N37" s="480"/>
    </row>
    <row r="38" spans="1:14" s="14" customFormat="1" ht="26.25" customHeight="1" x14ac:dyDescent="0.4">
      <c r="A38" s="486" t="s">
        <v>66</v>
      </c>
      <c r="B38" s="487">
        <v>1</v>
      </c>
      <c r="C38" s="493">
        <v>1</v>
      </c>
      <c r="D38" s="494">
        <v>21674317</v>
      </c>
      <c r="E38" s="495">
        <f>IF(ISBLANK(D38),"-",$D$48/$D$45*D38)</f>
        <v>20146342.812327534</v>
      </c>
      <c r="F38" s="494">
        <v>20681768</v>
      </c>
      <c r="G38" s="496">
        <f>IF(ISBLANK(F38),"-",$D$48/$F$45*F38)</f>
        <v>20126551.907443289</v>
      </c>
      <c r="I38" s="497"/>
      <c r="J38" s="474"/>
      <c r="K38" s="474"/>
      <c r="L38" s="479"/>
      <c r="M38" s="479"/>
      <c r="N38" s="480"/>
    </row>
    <row r="39" spans="1:14" s="14" customFormat="1" ht="26.25" customHeight="1" x14ac:dyDescent="0.4">
      <c r="A39" s="486" t="s">
        <v>67</v>
      </c>
      <c r="B39" s="487">
        <v>1</v>
      </c>
      <c r="C39" s="498">
        <v>2</v>
      </c>
      <c r="D39" s="499">
        <v>21665103</v>
      </c>
      <c r="E39" s="500">
        <f>IF(ISBLANK(D39),"-",$D$48/$D$45*D39)</f>
        <v>20137778.371626921</v>
      </c>
      <c r="F39" s="499">
        <v>20681755</v>
      </c>
      <c r="G39" s="501">
        <f>IF(ISBLANK(F39),"-",$D$48/$F$45*F39)</f>
        <v>20126539.256437108</v>
      </c>
      <c r="I39" s="673">
        <f>ABS((F43/D43*D42)-F42)/D42</f>
        <v>6.2513027198285713E-4</v>
      </c>
      <c r="J39" s="474"/>
      <c r="K39" s="474"/>
      <c r="L39" s="479"/>
      <c r="M39" s="479"/>
      <c r="N39" s="480"/>
    </row>
    <row r="40" spans="1:14" ht="26.25" customHeight="1" x14ac:dyDescent="0.4">
      <c r="A40" s="486" t="s">
        <v>68</v>
      </c>
      <c r="B40" s="487">
        <v>1</v>
      </c>
      <c r="C40" s="498">
        <v>3</v>
      </c>
      <c r="D40" s="499">
        <v>21653799</v>
      </c>
      <c r="E40" s="500">
        <f>IF(ISBLANK(D40),"-",$D$48/$D$45*D40)</f>
        <v>20127271.269643012</v>
      </c>
      <c r="F40" s="499">
        <v>20673764</v>
      </c>
      <c r="G40" s="501">
        <f>IF(ISBLANK(F40),"-",$D$48/$F$45*F40)</f>
        <v>20118762.780253235</v>
      </c>
      <c r="I40" s="673"/>
      <c r="L40" s="479"/>
      <c r="M40" s="479"/>
      <c r="N40" s="502"/>
    </row>
    <row r="41" spans="1:14" ht="27" customHeight="1" x14ac:dyDescent="0.4">
      <c r="A41" s="486" t="s">
        <v>69</v>
      </c>
      <c r="B41" s="487">
        <v>1</v>
      </c>
      <c r="C41" s="503">
        <v>4</v>
      </c>
      <c r="D41" s="504"/>
      <c r="E41" s="505" t="str">
        <f>IF(ISBLANK(D41),"-",$D$48/$D$45*D41)</f>
        <v>-</v>
      </c>
      <c r="F41" s="504"/>
      <c r="G41" s="506" t="str">
        <f>IF(ISBLANK(F41),"-",$D$48/$F$45*F41)</f>
        <v>-</v>
      </c>
      <c r="I41" s="507"/>
      <c r="L41" s="479"/>
      <c r="M41" s="479"/>
      <c r="N41" s="502"/>
    </row>
    <row r="42" spans="1:14" ht="27" customHeight="1" x14ac:dyDescent="0.4">
      <c r="A42" s="486" t="s">
        <v>70</v>
      </c>
      <c r="B42" s="487">
        <v>1</v>
      </c>
      <c r="C42" s="508" t="s">
        <v>71</v>
      </c>
      <c r="D42" s="509">
        <f>AVERAGE(D38:D41)</f>
        <v>21664406.333333332</v>
      </c>
      <c r="E42" s="510">
        <f>AVERAGE(E38:E41)</f>
        <v>20137130.817865822</v>
      </c>
      <c r="F42" s="509">
        <f>AVERAGE(F38:F41)</f>
        <v>20679095.666666668</v>
      </c>
      <c r="G42" s="511">
        <f>AVERAGE(G38:G41)</f>
        <v>20123951.314711209</v>
      </c>
      <c r="H42" s="512"/>
    </row>
    <row r="43" spans="1:14" ht="26.25" customHeight="1" x14ac:dyDescent="0.4">
      <c r="A43" s="486" t="s">
        <v>72</v>
      </c>
      <c r="B43" s="487">
        <v>1</v>
      </c>
      <c r="C43" s="513" t="s">
        <v>73</v>
      </c>
      <c r="D43" s="514">
        <v>43.25</v>
      </c>
      <c r="E43" s="502"/>
      <c r="F43" s="514">
        <v>41.31</v>
      </c>
      <c r="H43" s="512"/>
    </row>
    <row r="44" spans="1:14" ht="26.25" customHeight="1" x14ac:dyDescent="0.4">
      <c r="A44" s="486" t="s">
        <v>74</v>
      </c>
      <c r="B44" s="487">
        <v>1</v>
      </c>
      <c r="C44" s="515" t="s">
        <v>75</v>
      </c>
      <c r="D44" s="516">
        <f>D43*$B$34</f>
        <v>43.25</v>
      </c>
      <c r="E44" s="517"/>
      <c r="F44" s="516">
        <f>F43*$B$34</f>
        <v>41.31</v>
      </c>
      <c r="H44" s="512"/>
    </row>
    <row r="45" spans="1:14" ht="19.5" customHeight="1" x14ac:dyDescent="0.3">
      <c r="A45" s="486" t="s">
        <v>76</v>
      </c>
      <c r="B45" s="518">
        <f>(B44/B43)*(B42/B41)*(B40/B39)*(B38/B37)*B36</f>
        <v>100</v>
      </c>
      <c r="C45" s="515" t="s">
        <v>77</v>
      </c>
      <c r="D45" s="519">
        <f>D44*$B$30/100</f>
        <v>43.033749999999998</v>
      </c>
      <c r="E45" s="520"/>
      <c r="F45" s="519">
        <f>F44*$B$30/100</f>
        <v>41.103450000000002</v>
      </c>
      <c r="H45" s="512"/>
    </row>
    <row r="46" spans="1:14" ht="19.5" customHeight="1" x14ac:dyDescent="0.3">
      <c r="A46" s="674" t="s">
        <v>78</v>
      </c>
      <c r="B46" s="675"/>
      <c r="C46" s="515" t="s">
        <v>79</v>
      </c>
      <c r="D46" s="521">
        <f>D45/$B$45</f>
        <v>0.43033749999999998</v>
      </c>
      <c r="E46" s="522"/>
      <c r="F46" s="523">
        <f>F45/$B$45</f>
        <v>0.41103450000000002</v>
      </c>
      <c r="H46" s="512"/>
    </row>
    <row r="47" spans="1:14" ht="27" customHeight="1" x14ac:dyDescent="0.4">
      <c r="A47" s="676"/>
      <c r="B47" s="677"/>
      <c r="C47" s="524" t="s">
        <v>80</v>
      </c>
      <c r="D47" s="525">
        <v>0.4</v>
      </c>
      <c r="E47" s="526"/>
      <c r="F47" s="522"/>
      <c r="H47" s="512"/>
    </row>
    <row r="48" spans="1:14" ht="18.75" x14ac:dyDescent="0.3">
      <c r="C48" s="527" t="s">
        <v>81</v>
      </c>
      <c r="D48" s="519">
        <f>D47*$B$45</f>
        <v>40</v>
      </c>
      <c r="F48" s="528"/>
      <c r="H48" s="512"/>
    </row>
    <row r="49" spans="1:12" ht="19.5" customHeight="1" x14ac:dyDescent="0.3">
      <c r="C49" s="529" t="s">
        <v>82</v>
      </c>
      <c r="D49" s="530">
        <f>D48/B34</f>
        <v>40</v>
      </c>
      <c r="F49" s="528"/>
      <c r="H49" s="512"/>
    </row>
    <row r="50" spans="1:12" ht="18.75" x14ac:dyDescent="0.3">
      <c r="C50" s="484" t="s">
        <v>83</v>
      </c>
      <c r="D50" s="531">
        <f>AVERAGE(E38:E41,G38:G41)</f>
        <v>20130541.066288516</v>
      </c>
      <c r="F50" s="532"/>
      <c r="H50" s="512"/>
    </row>
    <row r="51" spans="1:12" ht="18.75" x14ac:dyDescent="0.3">
      <c r="C51" s="486" t="s">
        <v>84</v>
      </c>
      <c r="D51" s="533">
        <f>STDEV(E38:E41,G38:G41)/D50</f>
        <v>4.8845258111315933E-4</v>
      </c>
      <c r="F51" s="532"/>
      <c r="H51" s="512"/>
    </row>
    <row r="52" spans="1:12" ht="19.5" customHeight="1" x14ac:dyDescent="0.3">
      <c r="C52" s="534" t="s">
        <v>20</v>
      </c>
      <c r="D52" s="535">
        <f>COUNT(E38:E41,G38:G41)</f>
        <v>6</v>
      </c>
      <c r="F52" s="532"/>
    </row>
    <row r="54" spans="1:12" ht="18.75" x14ac:dyDescent="0.3">
      <c r="A54" s="536" t="s">
        <v>1</v>
      </c>
      <c r="B54" s="537" t="s">
        <v>85</v>
      </c>
    </row>
    <row r="55" spans="1:12" ht="18.75" x14ac:dyDescent="0.3">
      <c r="A55" s="462" t="s">
        <v>86</v>
      </c>
      <c r="B55" s="538" t="str">
        <f>B21</f>
        <v xml:space="preserve">Rifampicin 60mg, Isoniazid 30mg, Pyrazinamide 150mg 
</v>
      </c>
    </row>
    <row r="56" spans="1:12" ht="26.25" customHeight="1" x14ac:dyDescent="0.4">
      <c r="A56" s="539" t="s">
        <v>87</v>
      </c>
      <c r="B56" s="540">
        <v>150</v>
      </c>
      <c r="C56" s="462" t="str">
        <f>B20</f>
        <v xml:space="preserve">Rifampicin, Isoniazid, Pyrazinamide 
</v>
      </c>
      <c r="H56" s="541"/>
    </row>
    <row r="57" spans="1:12" ht="18.75" x14ac:dyDescent="0.3">
      <c r="A57" s="538" t="s">
        <v>88</v>
      </c>
      <c r="B57" s="630">
        <f>Uniformity!C46</f>
        <v>296.93700000000001</v>
      </c>
      <c r="H57" s="541"/>
    </row>
    <row r="58" spans="1:12" ht="19.5" customHeight="1" x14ac:dyDescent="0.3">
      <c r="H58" s="541"/>
    </row>
    <row r="59" spans="1:12" s="14" customFormat="1" ht="27" customHeight="1" x14ac:dyDescent="0.4">
      <c r="A59" s="484" t="s">
        <v>89</v>
      </c>
      <c r="B59" s="485">
        <v>100</v>
      </c>
      <c r="C59" s="462"/>
      <c r="D59" s="542" t="s">
        <v>90</v>
      </c>
      <c r="E59" s="543" t="s">
        <v>62</v>
      </c>
      <c r="F59" s="543" t="s">
        <v>63</v>
      </c>
      <c r="G59" s="543" t="s">
        <v>91</v>
      </c>
      <c r="H59" s="488" t="s">
        <v>92</v>
      </c>
      <c r="L59" s="474"/>
    </row>
    <row r="60" spans="1:12" s="14" customFormat="1" ht="26.25" customHeight="1" x14ac:dyDescent="0.4">
      <c r="A60" s="486" t="s">
        <v>93</v>
      </c>
      <c r="B60" s="487">
        <v>1</v>
      </c>
      <c r="C60" s="678" t="s">
        <v>94</v>
      </c>
      <c r="D60" s="681">
        <v>78.349999999999994</v>
      </c>
      <c r="E60" s="544">
        <v>1</v>
      </c>
      <c r="F60" s="545">
        <v>20296746</v>
      </c>
      <c r="G60" s="631">
        <f>IF(ISBLANK(F60),"-",(F60/$D$50*$D$47*$B$68)*($B$57/$D$60))</f>
        <v>152.84677364618688</v>
      </c>
      <c r="H60" s="546">
        <f t="shared" ref="H60:H71" si="0">IF(ISBLANK(F60),"-",G60/$B$56)</f>
        <v>1.0189784909745792</v>
      </c>
      <c r="L60" s="474"/>
    </row>
    <row r="61" spans="1:12" s="14" customFormat="1" ht="26.25" customHeight="1" x14ac:dyDescent="0.4">
      <c r="A61" s="486" t="s">
        <v>95</v>
      </c>
      <c r="B61" s="487">
        <v>1</v>
      </c>
      <c r="C61" s="679"/>
      <c r="D61" s="682"/>
      <c r="E61" s="547">
        <v>2</v>
      </c>
      <c r="F61" s="499">
        <v>20240460</v>
      </c>
      <c r="G61" s="632">
        <f>IF(ISBLANK(F61),"-",(F61/$D$50*$D$47*$B$68)*($B$57/$D$60))</f>
        <v>152.42290602221161</v>
      </c>
      <c r="H61" s="548">
        <f t="shared" si="0"/>
        <v>1.016152706814744</v>
      </c>
      <c r="L61" s="474"/>
    </row>
    <row r="62" spans="1:12" s="14" customFormat="1" ht="26.25" customHeight="1" x14ac:dyDescent="0.4">
      <c r="A62" s="486" t="s">
        <v>96</v>
      </c>
      <c r="B62" s="487">
        <v>1</v>
      </c>
      <c r="C62" s="679"/>
      <c r="D62" s="682"/>
      <c r="E62" s="547">
        <v>3</v>
      </c>
      <c r="F62" s="549">
        <v>20244049</v>
      </c>
      <c r="G62" s="632">
        <f>IF(ISBLANK(F62),"-",(F62/$D$50*$D$47*$B$68)*($B$57/$D$60))</f>
        <v>152.44993336297924</v>
      </c>
      <c r="H62" s="548">
        <f t="shared" si="0"/>
        <v>1.0163328890865282</v>
      </c>
      <c r="L62" s="474"/>
    </row>
    <row r="63" spans="1:12" ht="27" customHeight="1" x14ac:dyDescent="0.4">
      <c r="A63" s="486" t="s">
        <v>97</v>
      </c>
      <c r="B63" s="487">
        <v>1</v>
      </c>
      <c r="C63" s="680"/>
      <c r="D63" s="683"/>
      <c r="E63" s="550">
        <v>4</v>
      </c>
      <c r="F63" s="551"/>
      <c r="G63" s="632" t="str">
        <f>IF(ISBLANK(F63),"-",(F63/$D$50*$D$47*$B$68)*($B$57/$D$60))</f>
        <v>-</v>
      </c>
      <c r="H63" s="548" t="str">
        <f t="shared" si="0"/>
        <v>-</v>
      </c>
    </row>
    <row r="64" spans="1:12" ht="26.25" customHeight="1" x14ac:dyDescent="0.4">
      <c r="A64" s="486" t="s">
        <v>98</v>
      </c>
      <c r="B64" s="487">
        <v>1</v>
      </c>
      <c r="C64" s="678" t="s">
        <v>99</v>
      </c>
      <c r="D64" s="681">
        <v>82.78</v>
      </c>
      <c r="E64" s="544">
        <v>1</v>
      </c>
      <c r="F64" s="545">
        <v>20702175</v>
      </c>
      <c r="G64" s="633">
        <f>IF(ISBLANK(F64),"-",(F64/$D$50*$D$47*$B$68)*($B$57/$D$64))</f>
        <v>147.55686283042084</v>
      </c>
      <c r="H64" s="552">
        <f t="shared" si="0"/>
        <v>0.98371241886947225</v>
      </c>
    </row>
    <row r="65" spans="1:8" ht="26.25" customHeight="1" x14ac:dyDescent="0.4">
      <c r="A65" s="486" t="s">
        <v>100</v>
      </c>
      <c r="B65" s="487">
        <v>1</v>
      </c>
      <c r="C65" s="679"/>
      <c r="D65" s="682"/>
      <c r="E65" s="547">
        <v>2</v>
      </c>
      <c r="F65" s="499">
        <v>20671080</v>
      </c>
      <c r="G65" s="634">
        <f>IF(ISBLANK(F65),"-",(F65/$D$50*$D$47*$B$68)*($B$57/$D$64))</f>
        <v>147.33523004788898</v>
      </c>
      <c r="H65" s="553">
        <f t="shared" si="0"/>
        <v>0.98223486698592655</v>
      </c>
    </row>
    <row r="66" spans="1:8" ht="26.25" customHeight="1" x14ac:dyDescent="0.4">
      <c r="A66" s="486" t="s">
        <v>101</v>
      </c>
      <c r="B66" s="487">
        <v>1</v>
      </c>
      <c r="C66" s="679"/>
      <c r="D66" s="682"/>
      <c r="E66" s="547">
        <v>3</v>
      </c>
      <c r="F66" s="499"/>
      <c r="G66" s="634" t="str">
        <f>IF(ISBLANK(F66),"-",(F66/$D$50*$D$47*$B$68)*($B$57/$D$64))</f>
        <v>-</v>
      </c>
      <c r="H66" s="553" t="str">
        <f t="shared" si="0"/>
        <v>-</v>
      </c>
    </row>
    <row r="67" spans="1:8" ht="27" customHeight="1" x14ac:dyDescent="0.4">
      <c r="A67" s="486" t="s">
        <v>102</v>
      </c>
      <c r="B67" s="487">
        <v>1</v>
      </c>
      <c r="C67" s="680"/>
      <c r="D67" s="683"/>
      <c r="E67" s="550">
        <v>4</v>
      </c>
      <c r="F67" s="551"/>
      <c r="G67" s="635" t="str">
        <f>IF(ISBLANK(F67),"-",(F67/$D$50*$D$47*$B$68)*($B$57/$D$64))</f>
        <v>-</v>
      </c>
      <c r="H67" s="554" t="str">
        <f t="shared" si="0"/>
        <v>-</v>
      </c>
    </row>
    <row r="68" spans="1:8" ht="26.25" customHeight="1" x14ac:dyDescent="0.4">
      <c r="A68" s="486" t="s">
        <v>103</v>
      </c>
      <c r="B68" s="555">
        <f>(B67/B66)*(B65/B64)*(B63/B62)*(B61/B60)*B59</f>
        <v>100</v>
      </c>
      <c r="C68" s="678" t="s">
        <v>104</v>
      </c>
      <c r="D68" s="681">
        <v>80.75</v>
      </c>
      <c r="E68" s="544">
        <v>1</v>
      </c>
      <c r="F68" s="545">
        <v>20825992</v>
      </c>
      <c r="G68" s="633">
        <f>IF(ISBLANK(F68),"-",(F68/$D$50*$D$47*$B$68)*($B$57/$D$68))</f>
        <v>152.17104605780315</v>
      </c>
      <c r="H68" s="548">
        <f t="shared" si="0"/>
        <v>1.0144736403853543</v>
      </c>
    </row>
    <row r="69" spans="1:8" ht="27" customHeight="1" x14ac:dyDescent="0.4">
      <c r="A69" s="534" t="s">
        <v>105</v>
      </c>
      <c r="B69" s="556">
        <f>(D47*B68)/B56*B57</f>
        <v>79.183199999999999</v>
      </c>
      <c r="C69" s="679"/>
      <c r="D69" s="682"/>
      <c r="E69" s="547">
        <v>2</v>
      </c>
      <c r="F69" s="499">
        <v>20809764</v>
      </c>
      <c r="G69" s="634">
        <f>IF(ISBLANK(F69),"-",(F69/$D$50*$D$47*$B$68)*($B$57/$D$68))</f>
        <v>152.05247155074363</v>
      </c>
      <c r="H69" s="548">
        <f t="shared" si="0"/>
        <v>1.0136831436716243</v>
      </c>
    </row>
    <row r="70" spans="1:8" ht="26.25" customHeight="1" x14ac:dyDescent="0.4">
      <c r="A70" s="691" t="s">
        <v>78</v>
      </c>
      <c r="B70" s="692"/>
      <c r="C70" s="679"/>
      <c r="D70" s="682"/>
      <c r="E70" s="547">
        <v>3</v>
      </c>
      <c r="F70" s="499"/>
      <c r="G70" s="634" t="str">
        <f>IF(ISBLANK(F70),"-",(F70/$D$50*$D$47*$B$68)*($B$57/$D$68))</f>
        <v>-</v>
      </c>
      <c r="H70" s="548" t="str">
        <f t="shared" si="0"/>
        <v>-</v>
      </c>
    </row>
    <row r="71" spans="1:8" ht="27" customHeight="1" x14ac:dyDescent="0.4">
      <c r="A71" s="693"/>
      <c r="B71" s="694"/>
      <c r="C71" s="690"/>
      <c r="D71" s="683"/>
      <c r="E71" s="550">
        <v>4</v>
      </c>
      <c r="F71" s="551"/>
      <c r="G71" s="635" t="str">
        <f>IF(ISBLANK(F71),"-",(F71/$D$50*$D$47*$B$68)*($B$57/$D$68))</f>
        <v>-</v>
      </c>
      <c r="H71" s="557" t="str">
        <f t="shared" si="0"/>
        <v>-</v>
      </c>
    </row>
    <row r="72" spans="1:8" ht="26.25" customHeight="1" x14ac:dyDescent="0.4">
      <c r="A72" s="558"/>
      <c r="B72" s="558"/>
      <c r="C72" s="558"/>
      <c r="D72" s="558"/>
      <c r="E72" s="558"/>
      <c r="F72" s="560" t="s">
        <v>71</v>
      </c>
      <c r="G72" s="640">
        <f>AVERAGE(G60:G71)</f>
        <v>150.97646050260488</v>
      </c>
      <c r="H72" s="561">
        <f>AVERAGE(H60:H71)</f>
        <v>1.0065097366840328</v>
      </c>
    </row>
    <row r="73" spans="1:8" ht="26.25" customHeight="1" x14ac:dyDescent="0.4">
      <c r="C73" s="558"/>
      <c r="D73" s="558"/>
      <c r="E73" s="558"/>
      <c r="F73" s="562" t="s">
        <v>84</v>
      </c>
      <c r="G73" s="636">
        <f>STDEV(G60:G71)/G72</f>
        <v>1.6065449887187059E-2</v>
      </c>
      <c r="H73" s="636">
        <f>STDEV(H60:H71)/H72</f>
        <v>1.6065449887187049E-2</v>
      </c>
    </row>
    <row r="74" spans="1:8" ht="27" customHeight="1" x14ac:dyDescent="0.4">
      <c r="A74" s="558"/>
      <c r="B74" s="558"/>
      <c r="C74" s="559"/>
      <c r="D74" s="559"/>
      <c r="E74" s="563"/>
      <c r="F74" s="564" t="s">
        <v>20</v>
      </c>
      <c r="G74" s="565">
        <f>COUNT(G60:G71)</f>
        <v>7</v>
      </c>
      <c r="H74" s="565">
        <f>COUNT(H60:H71)</f>
        <v>7</v>
      </c>
    </row>
    <row r="76" spans="1:8" ht="26.25" customHeight="1" x14ac:dyDescent="0.4">
      <c r="A76" s="470" t="s">
        <v>106</v>
      </c>
      <c r="B76" s="566" t="s">
        <v>107</v>
      </c>
      <c r="C76" s="686" t="str">
        <f>B20</f>
        <v xml:space="preserve">Rifampicin, Isoniazid, Pyrazinamide 
</v>
      </c>
      <c r="D76" s="686"/>
      <c r="E76" s="567" t="s">
        <v>108</v>
      </c>
      <c r="F76" s="567"/>
      <c r="G76" s="568">
        <f>H72</f>
        <v>1.0065097366840328</v>
      </c>
      <c r="H76" s="569"/>
    </row>
    <row r="77" spans="1:8" ht="18.75" x14ac:dyDescent="0.3">
      <c r="A77" s="469" t="s">
        <v>109</v>
      </c>
      <c r="B77" s="469" t="s">
        <v>110</v>
      </c>
    </row>
    <row r="78" spans="1:8" ht="18.75" x14ac:dyDescent="0.3">
      <c r="A78" s="469"/>
      <c r="B78" s="469"/>
    </row>
    <row r="79" spans="1:8" ht="26.25" customHeight="1" x14ac:dyDescent="0.4">
      <c r="A79" s="470" t="s">
        <v>4</v>
      </c>
      <c r="B79" s="672" t="str">
        <f>B26</f>
        <v>Pyrazinamide</v>
      </c>
      <c r="C79" s="672"/>
    </row>
    <row r="80" spans="1:8" ht="26.25" customHeight="1" x14ac:dyDescent="0.4">
      <c r="A80" s="471" t="s">
        <v>48</v>
      </c>
      <c r="B80" s="672" t="str">
        <f>B27</f>
        <v>P19-1</v>
      </c>
      <c r="C80" s="672"/>
    </row>
    <row r="81" spans="1:12" ht="27" customHeight="1" x14ac:dyDescent="0.4">
      <c r="A81" s="471" t="s">
        <v>6</v>
      </c>
      <c r="B81" s="570">
        <f>B28</f>
        <v>99.5</v>
      </c>
    </row>
    <row r="82" spans="1:12" s="14" customFormat="1" ht="27" customHeight="1" x14ac:dyDescent="0.4">
      <c r="A82" s="471" t="s">
        <v>49</v>
      </c>
      <c r="B82" s="473">
        <v>0</v>
      </c>
      <c r="C82" s="663" t="s">
        <v>50</v>
      </c>
      <c r="D82" s="664"/>
      <c r="E82" s="664"/>
      <c r="F82" s="664"/>
      <c r="G82" s="665"/>
      <c r="I82" s="474"/>
      <c r="J82" s="474"/>
      <c r="K82" s="474"/>
      <c r="L82" s="474"/>
    </row>
    <row r="83" spans="1:12" s="14" customFormat="1" ht="19.5" customHeight="1" x14ac:dyDescent="0.3">
      <c r="A83" s="471" t="s">
        <v>51</v>
      </c>
      <c r="B83" s="475">
        <f>B81-B82</f>
        <v>99.5</v>
      </c>
      <c r="C83" s="476"/>
      <c r="D83" s="476"/>
      <c r="E83" s="476"/>
      <c r="F83" s="476"/>
      <c r="G83" s="477"/>
      <c r="I83" s="474"/>
      <c r="J83" s="474"/>
      <c r="K83" s="474"/>
      <c r="L83" s="474"/>
    </row>
    <row r="84" spans="1:12" s="14" customFormat="1" ht="27" customHeight="1" x14ac:dyDescent="0.4">
      <c r="A84" s="471" t="s">
        <v>52</v>
      </c>
      <c r="B84" s="478">
        <v>1</v>
      </c>
      <c r="C84" s="666" t="s">
        <v>111</v>
      </c>
      <c r="D84" s="667"/>
      <c r="E84" s="667"/>
      <c r="F84" s="667"/>
      <c r="G84" s="667"/>
      <c r="H84" s="668"/>
      <c r="I84" s="474"/>
      <c r="J84" s="474"/>
      <c r="K84" s="474"/>
      <c r="L84" s="474"/>
    </row>
    <row r="85" spans="1:12" s="14" customFormat="1" ht="27" customHeight="1" x14ac:dyDescent="0.4">
      <c r="A85" s="471" t="s">
        <v>54</v>
      </c>
      <c r="B85" s="478">
        <v>1</v>
      </c>
      <c r="C85" s="666" t="s">
        <v>112</v>
      </c>
      <c r="D85" s="667"/>
      <c r="E85" s="667"/>
      <c r="F85" s="667"/>
      <c r="G85" s="667"/>
      <c r="H85" s="668"/>
      <c r="I85" s="474"/>
      <c r="J85" s="474"/>
      <c r="K85" s="474"/>
      <c r="L85" s="474"/>
    </row>
    <row r="86" spans="1:12" s="14" customFormat="1" ht="18.75" x14ac:dyDescent="0.3">
      <c r="A86" s="471"/>
      <c r="B86" s="481"/>
      <c r="C86" s="482"/>
      <c r="D86" s="482"/>
      <c r="E86" s="482"/>
      <c r="F86" s="482"/>
      <c r="G86" s="482"/>
      <c r="H86" s="482"/>
      <c r="I86" s="474"/>
      <c r="J86" s="474"/>
      <c r="K86" s="474"/>
      <c r="L86" s="474"/>
    </row>
    <row r="87" spans="1:12" s="14" customFormat="1" ht="18.75" x14ac:dyDescent="0.3">
      <c r="A87" s="471" t="s">
        <v>56</v>
      </c>
      <c r="B87" s="483">
        <f>B84/B85</f>
        <v>1</v>
      </c>
      <c r="C87" s="462" t="s">
        <v>57</v>
      </c>
      <c r="D87" s="462"/>
      <c r="E87" s="462"/>
      <c r="F87" s="462"/>
      <c r="G87" s="462"/>
      <c r="I87" s="474"/>
      <c r="J87" s="474"/>
      <c r="K87" s="474"/>
      <c r="L87" s="474"/>
    </row>
    <row r="88" spans="1:12" ht="19.5" customHeight="1" x14ac:dyDescent="0.3">
      <c r="A88" s="469"/>
      <c r="B88" s="469"/>
    </row>
    <row r="89" spans="1:12" ht="27" customHeight="1" x14ac:dyDescent="0.4">
      <c r="A89" s="484" t="s">
        <v>58</v>
      </c>
      <c r="B89" s="485">
        <v>100</v>
      </c>
      <c r="D89" s="571" t="s">
        <v>59</v>
      </c>
      <c r="E89" s="572"/>
      <c r="F89" s="669" t="s">
        <v>60</v>
      </c>
      <c r="G89" s="671"/>
    </row>
    <row r="90" spans="1:12" ht="27" customHeight="1" x14ac:dyDescent="0.4">
      <c r="A90" s="486" t="s">
        <v>61</v>
      </c>
      <c r="B90" s="487">
        <v>10</v>
      </c>
      <c r="C90" s="573" t="s">
        <v>62</v>
      </c>
      <c r="D90" s="489" t="s">
        <v>63</v>
      </c>
      <c r="E90" s="490" t="s">
        <v>64</v>
      </c>
      <c r="F90" s="489" t="s">
        <v>63</v>
      </c>
      <c r="G90" s="574" t="s">
        <v>64</v>
      </c>
      <c r="I90" s="492" t="s">
        <v>65</v>
      </c>
    </row>
    <row r="91" spans="1:12" ht="26.25" customHeight="1" x14ac:dyDescent="0.4">
      <c r="A91" s="486" t="s">
        <v>66</v>
      </c>
      <c r="B91" s="487">
        <v>25</v>
      </c>
      <c r="C91" s="575">
        <v>1</v>
      </c>
      <c r="D91" s="494">
        <v>8746067</v>
      </c>
      <c r="E91" s="495">
        <f>IF(ISBLANK(D91),"-",$D$101/$D$98*D91)</f>
        <v>8468224.5524346214</v>
      </c>
      <c r="F91" s="494">
        <v>8335845</v>
      </c>
      <c r="G91" s="496">
        <f>IF(ISBLANK(F91),"-",$D$101/$F$98*F91)</f>
        <v>8450066.2353160121</v>
      </c>
      <c r="I91" s="497"/>
    </row>
    <row r="92" spans="1:12" ht="26.25" customHeight="1" x14ac:dyDescent="0.4">
      <c r="A92" s="486" t="s">
        <v>67</v>
      </c>
      <c r="B92" s="487">
        <v>1</v>
      </c>
      <c r="C92" s="559">
        <v>2</v>
      </c>
      <c r="D92" s="499">
        <v>8777847</v>
      </c>
      <c r="E92" s="500">
        <f>IF(ISBLANK(D92),"-",$D$101/$D$98*D92)</f>
        <v>8498994.9748743717</v>
      </c>
      <c r="F92" s="499">
        <v>8332573</v>
      </c>
      <c r="G92" s="501">
        <f>IF(ISBLANK(F92),"-",$D$101/$F$98*F92)</f>
        <v>8446749.4010032397</v>
      </c>
      <c r="I92" s="673">
        <f>ABS((F96/D96*D95)-F95)/D95</f>
        <v>2.121980535110703E-3</v>
      </c>
    </row>
    <row r="93" spans="1:12" ht="26.25" customHeight="1" x14ac:dyDescent="0.4">
      <c r="A93" s="486" t="s">
        <v>68</v>
      </c>
      <c r="B93" s="487">
        <v>1</v>
      </c>
      <c r="C93" s="559">
        <v>3</v>
      </c>
      <c r="D93" s="499">
        <v>8728414</v>
      </c>
      <c r="E93" s="500">
        <f>IF(ISBLANK(D93),"-",$D$101/$D$98*D93)</f>
        <v>8451132.3476728536</v>
      </c>
      <c r="F93" s="499">
        <v>8350642</v>
      </c>
      <c r="G93" s="501">
        <f>IF(ISBLANK(F93),"-",$D$101/$F$98*F93)</f>
        <v>8465065.9900000263</v>
      </c>
      <c r="I93" s="673"/>
    </row>
    <row r="94" spans="1:12" ht="27" customHeight="1" x14ac:dyDescent="0.4">
      <c r="A94" s="486" t="s">
        <v>69</v>
      </c>
      <c r="B94" s="487">
        <v>1</v>
      </c>
      <c r="C94" s="576">
        <v>4</v>
      </c>
      <c r="D94" s="504"/>
      <c r="E94" s="505" t="str">
        <f>IF(ISBLANK(D94),"-",$D$101/$D$98*D94)</f>
        <v>-</v>
      </c>
      <c r="F94" s="577"/>
      <c r="G94" s="506" t="str">
        <f>IF(ISBLANK(F94),"-",$D$101/$F$98*F94)</f>
        <v>-</v>
      </c>
      <c r="I94" s="507"/>
    </row>
    <row r="95" spans="1:12" ht="27" customHeight="1" x14ac:dyDescent="0.4">
      <c r="A95" s="486" t="s">
        <v>70</v>
      </c>
      <c r="B95" s="487">
        <v>1</v>
      </c>
      <c r="C95" s="578" t="s">
        <v>71</v>
      </c>
      <c r="D95" s="579">
        <f>AVERAGE(D91:D94)</f>
        <v>8750776</v>
      </c>
      <c r="E95" s="510">
        <f>AVERAGE(E91:E94)</f>
        <v>8472783.9583272822</v>
      </c>
      <c r="F95" s="580">
        <f>AVERAGE(F91:F94)</f>
        <v>8339686.666666667</v>
      </c>
      <c r="G95" s="581">
        <f>AVERAGE(G91:G94)</f>
        <v>8453960.5421064254</v>
      </c>
    </row>
    <row r="96" spans="1:12" ht="26.25" customHeight="1" x14ac:dyDescent="0.4">
      <c r="A96" s="486" t="s">
        <v>72</v>
      </c>
      <c r="B96" s="472">
        <v>1</v>
      </c>
      <c r="C96" s="582" t="s">
        <v>113</v>
      </c>
      <c r="D96" s="583">
        <v>43.25</v>
      </c>
      <c r="E96" s="502"/>
      <c r="F96" s="514">
        <v>41.31</v>
      </c>
    </row>
    <row r="97" spans="1:10" ht="26.25" customHeight="1" x14ac:dyDescent="0.4">
      <c r="A97" s="486" t="s">
        <v>74</v>
      </c>
      <c r="B97" s="472">
        <v>1</v>
      </c>
      <c r="C97" s="584" t="s">
        <v>114</v>
      </c>
      <c r="D97" s="585">
        <f>D96*$B$87</f>
        <v>43.25</v>
      </c>
      <c r="E97" s="517"/>
      <c r="F97" s="516">
        <f>F96*$B$87</f>
        <v>41.31</v>
      </c>
    </row>
    <row r="98" spans="1:10" ht="19.5" customHeight="1" x14ac:dyDescent="0.3">
      <c r="A98" s="486" t="s">
        <v>76</v>
      </c>
      <c r="B98" s="586">
        <f>(B97/B96)*(B95/B94)*(B93/B92)*(B91/B90)*B89</f>
        <v>250</v>
      </c>
      <c r="C98" s="584" t="s">
        <v>115</v>
      </c>
      <c r="D98" s="587">
        <f>D97*$B$83/100</f>
        <v>43.033749999999998</v>
      </c>
      <c r="E98" s="520"/>
      <c r="F98" s="519">
        <f>F97*$B$83/100</f>
        <v>41.103450000000002</v>
      </c>
    </row>
    <row r="99" spans="1:10" ht="19.5" customHeight="1" x14ac:dyDescent="0.3">
      <c r="A99" s="674" t="s">
        <v>78</v>
      </c>
      <c r="B99" s="688"/>
      <c r="C99" s="584" t="s">
        <v>116</v>
      </c>
      <c r="D99" s="588">
        <f>D98/$B$98</f>
        <v>0.17213499999999998</v>
      </c>
      <c r="E99" s="520"/>
      <c r="F99" s="523">
        <f>F98/$B$98</f>
        <v>0.1644138</v>
      </c>
      <c r="G99" s="589"/>
      <c r="H99" s="512"/>
    </row>
    <row r="100" spans="1:10" ht="19.5" customHeight="1" x14ac:dyDescent="0.3">
      <c r="A100" s="676"/>
      <c r="B100" s="689"/>
      <c r="C100" s="584" t="s">
        <v>80</v>
      </c>
      <c r="D100" s="590">
        <f>$B$56/$B$116</f>
        <v>0.16666666666666666</v>
      </c>
      <c r="F100" s="528"/>
      <c r="G100" s="591"/>
      <c r="H100" s="512"/>
    </row>
    <row r="101" spans="1:10" ht="18.75" x14ac:dyDescent="0.3">
      <c r="C101" s="584" t="s">
        <v>81</v>
      </c>
      <c r="D101" s="585">
        <f>D100*$B$98</f>
        <v>41.666666666666664</v>
      </c>
      <c r="F101" s="528"/>
      <c r="G101" s="589"/>
      <c r="H101" s="512"/>
    </row>
    <row r="102" spans="1:10" ht="19.5" customHeight="1" x14ac:dyDescent="0.3">
      <c r="C102" s="592" t="s">
        <v>82</v>
      </c>
      <c r="D102" s="593">
        <f>D101/B34</f>
        <v>41.666666666666664</v>
      </c>
      <c r="F102" s="532"/>
      <c r="G102" s="589"/>
      <c r="H102" s="512"/>
      <c r="J102" s="594"/>
    </row>
    <row r="103" spans="1:10" ht="18.75" x14ac:dyDescent="0.3">
      <c r="C103" s="595" t="s">
        <v>117</v>
      </c>
      <c r="D103" s="596">
        <f>AVERAGE(E91:E94,G91:G94)</f>
        <v>8463372.2502168547</v>
      </c>
      <c r="F103" s="532"/>
      <c r="G103" s="597"/>
      <c r="H103" s="512"/>
      <c r="J103" s="598"/>
    </row>
    <row r="104" spans="1:10" ht="18.75" x14ac:dyDescent="0.3">
      <c r="C104" s="562" t="s">
        <v>84</v>
      </c>
      <c r="D104" s="599">
        <f>STDEV(E91:E94,G91:G94)/D103</f>
        <v>2.3024255781665783E-3</v>
      </c>
      <c r="F104" s="532"/>
      <c r="G104" s="589"/>
      <c r="H104" s="512"/>
      <c r="J104" s="598"/>
    </row>
    <row r="105" spans="1:10" ht="19.5" customHeight="1" x14ac:dyDescent="0.3">
      <c r="C105" s="564" t="s">
        <v>20</v>
      </c>
      <c r="D105" s="600">
        <f>COUNT(E91:E94,G91:G94)</f>
        <v>6</v>
      </c>
      <c r="F105" s="532"/>
      <c r="G105" s="589"/>
      <c r="H105" s="512"/>
      <c r="J105" s="598"/>
    </row>
    <row r="106" spans="1:10" ht="19.5" customHeight="1" x14ac:dyDescent="0.3">
      <c r="A106" s="536"/>
      <c r="B106" s="536"/>
      <c r="C106" s="536"/>
      <c r="D106" s="536"/>
      <c r="E106" s="536"/>
    </row>
    <row r="107" spans="1:10" ht="26.25" customHeight="1" x14ac:dyDescent="0.4">
      <c r="A107" s="484" t="s">
        <v>118</v>
      </c>
      <c r="B107" s="485">
        <v>900</v>
      </c>
      <c r="C107" s="601" t="s">
        <v>119</v>
      </c>
      <c r="D107" s="602" t="s">
        <v>63</v>
      </c>
      <c r="E107" s="603" t="s">
        <v>120</v>
      </c>
      <c r="F107" s="604" t="s">
        <v>121</v>
      </c>
    </row>
    <row r="108" spans="1:10" ht="26.25" customHeight="1" x14ac:dyDescent="0.4">
      <c r="A108" s="486" t="s">
        <v>122</v>
      </c>
      <c r="B108" s="487">
        <v>1</v>
      </c>
      <c r="C108" s="605">
        <v>1</v>
      </c>
      <c r="D108" s="606">
        <v>8174978</v>
      </c>
      <c r="E108" s="637">
        <f t="shared" ref="E108:E113" si="1">IF(ISBLANK(D108),"-",D108/$D$103*$D$100*$B$116)</f>
        <v>144.8886642045764</v>
      </c>
      <c r="F108" s="607">
        <f t="shared" ref="F108:F113" si="2">IF(ISBLANK(D108), "-", E108/$B$56)</f>
        <v>0.96592442803050937</v>
      </c>
    </row>
    <row r="109" spans="1:10" ht="26.25" customHeight="1" x14ac:dyDescent="0.4">
      <c r="A109" s="486" t="s">
        <v>95</v>
      </c>
      <c r="B109" s="487">
        <v>1</v>
      </c>
      <c r="C109" s="605">
        <v>2</v>
      </c>
      <c r="D109" s="606">
        <v>8267291</v>
      </c>
      <c r="E109" s="638">
        <f t="shared" si="1"/>
        <v>146.52476735478879</v>
      </c>
      <c r="F109" s="608">
        <f t="shared" si="2"/>
        <v>0.97683178236525858</v>
      </c>
    </row>
    <row r="110" spans="1:10" ht="26.25" customHeight="1" x14ac:dyDescent="0.4">
      <c r="A110" s="486" t="s">
        <v>96</v>
      </c>
      <c r="B110" s="487">
        <v>1</v>
      </c>
      <c r="C110" s="605">
        <v>3</v>
      </c>
      <c r="D110" s="606">
        <v>8194861</v>
      </c>
      <c r="E110" s="638">
        <f t="shared" si="1"/>
        <v>145.24105919700079</v>
      </c>
      <c r="F110" s="608">
        <f t="shared" si="2"/>
        <v>0.96827372798000533</v>
      </c>
    </row>
    <row r="111" spans="1:10" ht="26.25" customHeight="1" x14ac:dyDescent="0.4">
      <c r="A111" s="486" t="s">
        <v>97</v>
      </c>
      <c r="B111" s="487">
        <v>1</v>
      </c>
      <c r="C111" s="605">
        <v>4</v>
      </c>
      <c r="D111" s="606">
        <v>8242892</v>
      </c>
      <c r="E111" s="638">
        <f t="shared" si="1"/>
        <v>146.09233334482235</v>
      </c>
      <c r="F111" s="608">
        <f t="shared" si="2"/>
        <v>0.97394888896548237</v>
      </c>
    </row>
    <row r="112" spans="1:10" ht="26.25" customHeight="1" x14ac:dyDescent="0.4">
      <c r="A112" s="486" t="s">
        <v>98</v>
      </c>
      <c r="B112" s="487">
        <v>1</v>
      </c>
      <c r="C112" s="605">
        <v>5</v>
      </c>
      <c r="D112" s="606">
        <v>8172897</v>
      </c>
      <c r="E112" s="638">
        <f t="shared" si="1"/>
        <v>144.85178174321567</v>
      </c>
      <c r="F112" s="608">
        <f t="shared" si="2"/>
        <v>0.96567854495477112</v>
      </c>
    </row>
    <row r="113" spans="1:10" ht="26.25" customHeight="1" x14ac:dyDescent="0.4">
      <c r="A113" s="486" t="s">
        <v>100</v>
      </c>
      <c r="B113" s="487">
        <v>1</v>
      </c>
      <c r="C113" s="609">
        <v>6</v>
      </c>
      <c r="D113" s="610">
        <v>8186669</v>
      </c>
      <c r="E113" s="639">
        <f t="shared" si="1"/>
        <v>145.09586884454188</v>
      </c>
      <c r="F113" s="611">
        <f t="shared" si="2"/>
        <v>0.96730579229694591</v>
      </c>
    </row>
    <row r="114" spans="1:10" ht="26.25" customHeight="1" x14ac:dyDescent="0.4">
      <c r="A114" s="486" t="s">
        <v>101</v>
      </c>
      <c r="B114" s="487">
        <v>1</v>
      </c>
      <c r="C114" s="605"/>
      <c r="D114" s="559"/>
      <c r="E114" s="461"/>
      <c r="F114" s="612"/>
    </row>
    <row r="115" spans="1:10" ht="26.25" customHeight="1" x14ac:dyDescent="0.4">
      <c r="A115" s="486" t="s">
        <v>102</v>
      </c>
      <c r="B115" s="487">
        <v>1</v>
      </c>
      <c r="C115" s="605"/>
      <c r="D115" s="613" t="s">
        <v>71</v>
      </c>
      <c r="E115" s="641">
        <f>AVERAGE(E108:E113)</f>
        <v>145.44907911482434</v>
      </c>
      <c r="F115" s="614">
        <f>AVERAGE(F108:F113)</f>
        <v>0.96966052743216213</v>
      </c>
    </row>
    <row r="116" spans="1:10" ht="27" customHeight="1" x14ac:dyDescent="0.4">
      <c r="A116" s="486" t="s">
        <v>103</v>
      </c>
      <c r="B116" s="518">
        <f>(B115/B114)*(B113/B112)*(B111/B110)*(B109/B108)*B107</f>
        <v>900</v>
      </c>
      <c r="C116" s="615"/>
      <c r="D116" s="578" t="s">
        <v>84</v>
      </c>
      <c r="E116" s="616">
        <f>STDEV(E108:E113)/E115</f>
        <v>4.7729745094610976E-3</v>
      </c>
      <c r="F116" s="616">
        <f>STDEV(F108:F113)/F115</f>
        <v>4.7729745094610828E-3</v>
      </c>
      <c r="I116" s="461"/>
    </row>
    <row r="117" spans="1:10" ht="27" customHeight="1" x14ac:dyDescent="0.4">
      <c r="A117" s="674" t="s">
        <v>78</v>
      </c>
      <c r="B117" s="675"/>
      <c r="C117" s="617"/>
      <c r="D117" s="618" t="s">
        <v>20</v>
      </c>
      <c r="E117" s="619">
        <f>COUNT(E108:E113)</f>
        <v>6</v>
      </c>
      <c r="F117" s="619">
        <f>COUNT(F108:F113)</f>
        <v>6</v>
      </c>
      <c r="I117" s="461"/>
      <c r="J117" s="598"/>
    </row>
    <row r="118" spans="1:10" ht="19.5" customHeight="1" x14ac:dyDescent="0.3">
      <c r="A118" s="676"/>
      <c r="B118" s="677"/>
      <c r="C118" s="461"/>
      <c r="D118" s="461"/>
      <c r="E118" s="461"/>
      <c r="F118" s="559"/>
      <c r="G118" s="461"/>
      <c r="H118" s="461"/>
      <c r="I118" s="461"/>
    </row>
    <row r="119" spans="1:10" ht="18.75" x14ac:dyDescent="0.3">
      <c r="A119" s="628"/>
      <c r="B119" s="482"/>
      <c r="C119" s="461"/>
      <c r="D119" s="461"/>
      <c r="E119" s="461"/>
      <c r="F119" s="559"/>
      <c r="G119" s="461"/>
      <c r="H119" s="461"/>
      <c r="I119" s="461"/>
    </row>
    <row r="120" spans="1:10" ht="26.25" customHeight="1" x14ac:dyDescent="0.4">
      <c r="A120" s="470" t="s">
        <v>106</v>
      </c>
      <c r="B120" s="566" t="s">
        <v>123</v>
      </c>
      <c r="C120" s="686" t="str">
        <f>B20</f>
        <v xml:space="preserve">Rifampicin, Isoniazid, Pyrazinamide 
</v>
      </c>
      <c r="D120" s="686"/>
      <c r="E120" s="567" t="s">
        <v>124</v>
      </c>
      <c r="F120" s="567"/>
      <c r="G120" s="568">
        <f>F115</f>
        <v>0.96966052743216213</v>
      </c>
      <c r="H120" s="461"/>
      <c r="I120" s="461"/>
    </row>
    <row r="121" spans="1:10" ht="19.5" customHeight="1" x14ac:dyDescent="0.3">
      <c r="A121" s="620"/>
      <c r="B121" s="620"/>
      <c r="C121" s="621"/>
      <c r="D121" s="621"/>
      <c r="E121" s="621"/>
      <c r="F121" s="621"/>
      <c r="G121" s="621"/>
      <c r="H121" s="621"/>
    </row>
    <row r="122" spans="1:10" ht="18.75" x14ac:dyDescent="0.3">
      <c r="B122" s="687" t="s">
        <v>26</v>
      </c>
      <c r="C122" s="687"/>
      <c r="E122" s="573" t="s">
        <v>27</v>
      </c>
      <c r="F122" s="622"/>
      <c r="G122" s="687" t="s">
        <v>28</v>
      </c>
      <c r="H122" s="687"/>
    </row>
    <row r="123" spans="1:10" ht="69.95" customHeight="1" x14ac:dyDescent="0.3">
      <c r="A123" s="623" t="s">
        <v>29</v>
      </c>
      <c r="B123" s="624"/>
      <c r="C123" s="624"/>
      <c r="E123" s="624"/>
      <c r="F123" s="461"/>
      <c r="G123" s="625"/>
      <c r="H123" s="625"/>
    </row>
    <row r="124" spans="1:10" ht="69.95" customHeight="1" x14ac:dyDescent="0.3">
      <c r="A124" s="623" t="s">
        <v>30</v>
      </c>
      <c r="B124" s="626"/>
      <c r="C124" s="626"/>
      <c r="E124" s="626"/>
      <c r="F124" s="461"/>
      <c r="G124" s="627"/>
      <c r="H124" s="627"/>
    </row>
    <row r="125" spans="1:10" ht="18.75" x14ac:dyDescent="0.3">
      <c r="A125" s="558"/>
      <c r="B125" s="558"/>
      <c r="C125" s="559"/>
      <c r="D125" s="559"/>
      <c r="E125" s="559"/>
      <c r="F125" s="563"/>
      <c r="G125" s="559"/>
      <c r="H125" s="559"/>
      <c r="I125" s="461"/>
    </row>
    <row r="126" spans="1:10" ht="18.75" x14ac:dyDescent="0.3">
      <c r="A126" s="558"/>
      <c r="B126" s="558"/>
      <c r="C126" s="559"/>
      <c r="D126" s="559"/>
      <c r="E126" s="559"/>
      <c r="F126" s="563"/>
      <c r="G126" s="559"/>
      <c r="H126" s="559"/>
      <c r="I126" s="461"/>
    </row>
    <row r="127" spans="1:10" ht="18.75" x14ac:dyDescent="0.3">
      <c r="A127" s="558"/>
      <c r="B127" s="558"/>
      <c r="C127" s="559"/>
      <c r="D127" s="559"/>
      <c r="E127" s="559"/>
      <c r="F127" s="563"/>
      <c r="G127" s="559"/>
      <c r="H127" s="559"/>
      <c r="I127" s="461"/>
    </row>
    <row r="128" spans="1:10" ht="18.75" x14ac:dyDescent="0.3">
      <c r="A128" s="558"/>
      <c r="B128" s="558"/>
      <c r="C128" s="559"/>
      <c r="D128" s="559"/>
      <c r="E128" s="559"/>
      <c r="F128" s="563"/>
      <c r="G128" s="559"/>
      <c r="H128" s="559"/>
      <c r="I128" s="461"/>
    </row>
    <row r="129" spans="1:9" ht="18.75" x14ac:dyDescent="0.3">
      <c r="A129" s="558"/>
      <c r="B129" s="558"/>
      <c r="C129" s="559"/>
      <c r="D129" s="559"/>
      <c r="E129" s="559"/>
      <c r="F129" s="563"/>
      <c r="G129" s="559"/>
      <c r="H129" s="559"/>
      <c r="I129" s="461"/>
    </row>
    <row r="130" spans="1:9" ht="18.75" x14ac:dyDescent="0.3">
      <c r="A130" s="558"/>
      <c r="B130" s="558"/>
      <c r="C130" s="559"/>
      <c r="D130" s="559"/>
      <c r="E130" s="559"/>
      <c r="F130" s="563"/>
      <c r="G130" s="559"/>
      <c r="H130" s="559"/>
      <c r="I130" s="461"/>
    </row>
    <row r="131" spans="1:9" ht="18.75" x14ac:dyDescent="0.3">
      <c r="A131" s="558"/>
      <c r="B131" s="558"/>
      <c r="C131" s="559"/>
      <c r="D131" s="559"/>
      <c r="E131" s="559"/>
      <c r="F131" s="563"/>
      <c r="G131" s="559"/>
      <c r="H131" s="559"/>
      <c r="I131" s="461"/>
    </row>
    <row r="132" spans="1:9" ht="18.75" x14ac:dyDescent="0.3">
      <c r="A132" s="558"/>
      <c r="B132" s="558"/>
      <c r="C132" s="559"/>
      <c r="D132" s="559"/>
      <c r="E132" s="559"/>
      <c r="F132" s="563"/>
      <c r="G132" s="559"/>
      <c r="H132" s="559"/>
      <c r="I132" s="461"/>
    </row>
    <row r="133" spans="1:9" ht="18.75" x14ac:dyDescent="0.3">
      <c r="A133" s="558"/>
      <c r="B133" s="558"/>
      <c r="C133" s="559"/>
      <c r="D133" s="559"/>
      <c r="E133" s="559"/>
      <c r="F133" s="563"/>
      <c r="G133" s="559"/>
      <c r="H133" s="559"/>
      <c r="I133" s="461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B59" zoomScale="60" zoomScaleNormal="40" zoomScalePageLayoutView="55" workbookViewId="0">
      <selection activeCell="G59" sqref="G5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84" t="s">
        <v>45</v>
      </c>
      <c r="B1" s="684"/>
      <c r="C1" s="684"/>
      <c r="D1" s="684"/>
      <c r="E1" s="684"/>
      <c r="F1" s="684"/>
      <c r="G1" s="684"/>
      <c r="H1" s="684"/>
      <c r="I1" s="684"/>
    </row>
    <row r="2" spans="1:9" ht="18.75" customHeight="1" x14ac:dyDescent="0.25">
      <c r="A2" s="684"/>
      <c r="B2" s="684"/>
      <c r="C2" s="684"/>
      <c r="D2" s="684"/>
      <c r="E2" s="684"/>
      <c r="F2" s="684"/>
      <c r="G2" s="684"/>
      <c r="H2" s="684"/>
      <c r="I2" s="684"/>
    </row>
    <row r="3" spans="1:9" ht="18.75" customHeight="1" x14ac:dyDescent="0.25">
      <c r="A3" s="684"/>
      <c r="B3" s="684"/>
      <c r="C3" s="684"/>
      <c r="D3" s="684"/>
      <c r="E3" s="684"/>
      <c r="F3" s="684"/>
      <c r="G3" s="684"/>
      <c r="H3" s="684"/>
      <c r="I3" s="684"/>
    </row>
    <row r="4" spans="1:9" ht="18.75" customHeight="1" x14ac:dyDescent="0.25">
      <c r="A4" s="684"/>
      <c r="B4" s="684"/>
      <c r="C4" s="684"/>
      <c r="D4" s="684"/>
      <c r="E4" s="684"/>
      <c r="F4" s="684"/>
      <c r="G4" s="684"/>
      <c r="H4" s="684"/>
      <c r="I4" s="684"/>
    </row>
    <row r="5" spans="1:9" ht="18.75" customHeight="1" x14ac:dyDescent="0.25">
      <c r="A5" s="684"/>
      <c r="B5" s="684"/>
      <c r="C5" s="684"/>
      <c r="D5" s="684"/>
      <c r="E5" s="684"/>
      <c r="F5" s="684"/>
      <c r="G5" s="684"/>
      <c r="H5" s="684"/>
      <c r="I5" s="684"/>
    </row>
    <row r="6" spans="1:9" ht="18.75" customHeight="1" x14ac:dyDescent="0.25">
      <c r="A6" s="684"/>
      <c r="B6" s="684"/>
      <c r="C6" s="684"/>
      <c r="D6" s="684"/>
      <c r="E6" s="684"/>
      <c r="F6" s="684"/>
      <c r="G6" s="684"/>
      <c r="H6" s="684"/>
      <c r="I6" s="684"/>
    </row>
    <row r="7" spans="1:9" ht="18.75" customHeight="1" x14ac:dyDescent="0.25">
      <c r="A7" s="684"/>
      <c r="B7" s="684"/>
      <c r="C7" s="684"/>
      <c r="D7" s="684"/>
      <c r="E7" s="684"/>
      <c r="F7" s="684"/>
      <c r="G7" s="684"/>
      <c r="H7" s="684"/>
      <c r="I7" s="684"/>
    </row>
    <row r="8" spans="1:9" x14ac:dyDescent="0.25">
      <c r="A8" s="685" t="s">
        <v>46</v>
      </c>
      <c r="B8" s="685"/>
      <c r="C8" s="685"/>
      <c r="D8" s="685"/>
      <c r="E8" s="685"/>
      <c r="F8" s="685"/>
      <c r="G8" s="685"/>
      <c r="H8" s="685"/>
      <c r="I8" s="685"/>
    </row>
    <row r="9" spans="1:9" x14ac:dyDescent="0.25">
      <c r="A9" s="685"/>
      <c r="B9" s="685"/>
      <c r="C9" s="685"/>
      <c r="D9" s="685"/>
      <c r="E9" s="685"/>
      <c r="F9" s="685"/>
      <c r="G9" s="685"/>
      <c r="H9" s="685"/>
      <c r="I9" s="685"/>
    </row>
    <row r="10" spans="1:9" x14ac:dyDescent="0.25">
      <c r="A10" s="685"/>
      <c r="B10" s="685"/>
      <c r="C10" s="685"/>
      <c r="D10" s="685"/>
      <c r="E10" s="685"/>
      <c r="F10" s="685"/>
      <c r="G10" s="685"/>
      <c r="H10" s="685"/>
      <c r="I10" s="685"/>
    </row>
    <row r="11" spans="1:9" x14ac:dyDescent="0.25">
      <c r="A11" s="685"/>
      <c r="B11" s="685"/>
      <c r="C11" s="685"/>
      <c r="D11" s="685"/>
      <c r="E11" s="685"/>
      <c r="F11" s="685"/>
      <c r="G11" s="685"/>
      <c r="H11" s="685"/>
      <c r="I11" s="685"/>
    </row>
    <row r="12" spans="1:9" x14ac:dyDescent="0.25">
      <c r="A12" s="685"/>
      <c r="B12" s="685"/>
      <c r="C12" s="685"/>
      <c r="D12" s="685"/>
      <c r="E12" s="685"/>
      <c r="F12" s="685"/>
      <c r="G12" s="685"/>
      <c r="H12" s="685"/>
      <c r="I12" s="685"/>
    </row>
    <row r="13" spans="1:9" x14ac:dyDescent="0.25">
      <c r="A13" s="685"/>
      <c r="B13" s="685"/>
      <c r="C13" s="685"/>
      <c r="D13" s="685"/>
      <c r="E13" s="685"/>
      <c r="F13" s="685"/>
      <c r="G13" s="685"/>
      <c r="H13" s="685"/>
      <c r="I13" s="685"/>
    </row>
    <row r="14" spans="1:9" x14ac:dyDescent="0.25">
      <c r="A14" s="685"/>
      <c r="B14" s="685"/>
      <c r="C14" s="685"/>
      <c r="D14" s="685"/>
      <c r="E14" s="685"/>
      <c r="F14" s="685"/>
      <c r="G14" s="685"/>
      <c r="H14" s="685"/>
      <c r="I14" s="685"/>
    </row>
    <row r="15" spans="1:9" ht="19.5" customHeight="1" x14ac:dyDescent="0.3">
      <c r="A15" s="98"/>
    </row>
    <row r="16" spans="1:9" ht="19.5" customHeight="1" x14ac:dyDescent="0.3">
      <c r="A16" s="657" t="s">
        <v>31</v>
      </c>
      <c r="B16" s="658"/>
      <c r="C16" s="658"/>
      <c r="D16" s="658"/>
      <c r="E16" s="658"/>
      <c r="F16" s="658"/>
      <c r="G16" s="658"/>
      <c r="H16" s="659"/>
    </row>
    <row r="17" spans="1:14" ht="20.25" customHeight="1" x14ac:dyDescent="0.25">
      <c r="A17" s="660" t="s">
        <v>47</v>
      </c>
      <c r="B17" s="660"/>
      <c r="C17" s="660"/>
      <c r="D17" s="660"/>
      <c r="E17" s="660"/>
      <c r="F17" s="660"/>
      <c r="G17" s="660"/>
      <c r="H17" s="660"/>
    </row>
    <row r="18" spans="1:14" ht="26.25" customHeight="1" x14ac:dyDescent="0.4">
      <c r="A18" s="100" t="s">
        <v>33</v>
      </c>
      <c r="B18" s="656" t="s">
        <v>5</v>
      </c>
      <c r="C18" s="656"/>
      <c r="D18" s="26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79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661" t="s">
        <v>9</v>
      </c>
      <c r="C20" s="661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661" t="s">
        <v>11</v>
      </c>
      <c r="C21" s="661"/>
      <c r="D21" s="661"/>
      <c r="E21" s="661"/>
      <c r="F21" s="661"/>
      <c r="G21" s="661"/>
      <c r="H21" s="661"/>
      <c r="I21" s="104"/>
    </row>
    <row r="22" spans="1:14" ht="26.25" customHeight="1" x14ac:dyDescent="0.4">
      <c r="A22" s="100" t="s">
        <v>37</v>
      </c>
      <c r="B22" s="645">
        <v>42531.493668981479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645">
        <v>42535.41033564815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107" t="s">
        <v>4</v>
      </c>
      <c r="B26" s="656" t="s">
        <v>126</v>
      </c>
      <c r="C26" s="656"/>
    </row>
    <row r="27" spans="1:14" ht="26.25" customHeight="1" x14ac:dyDescent="0.4">
      <c r="A27" s="108" t="s">
        <v>48</v>
      </c>
      <c r="B27" s="662" t="s">
        <v>127</v>
      </c>
      <c r="C27" s="662"/>
    </row>
    <row r="28" spans="1:14" ht="27" customHeight="1" x14ac:dyDescent="0.4">
      <c r="A28" s="108" t="s">
        <v>6</v>
      </c>
      <c r="B28" s="109">
        <v>99.6</v>
      </c>
    </row>
    <row r="29" spans="1:14" s="14" customFormat="1" ht="27" customHeight="1" x14ac:dyDescent="0.4">
      <c r="A29" s="108" t="s">
        <v>49</v>
      </c>
      <c r="B29" s="110">
        <v>0</v>
      </c>
      <c r="C29" s="663" t="s">
        <v>50</v>
      </c>
      <c r="D29" s="664"/>
      <c r="E29" s="664"/>
      <c r="F29" s="664"/>
      <c r="G29" s="665"/>
      <c r="I29" s="111"/>
      <c r="J29" s="111"/>
      <c r="K29" s="111"/>
      <c r="L29" s="111"/>
    </row>
    <row r="30" spans="1:14" s="14" customFormat="1" ht="19.5" customHeight="1" x14ac:dyDescent="0.3">
      <c r="A30" s="108" t="s">
        <v>51</v>
      </c>
      <c r="B30" s="112">
        <f>B28-B29</f>
        <v>99.6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4" customFormat="1" ht="27" customHeight="1" x14ac:dyDescent="0.4">
      <c r="A31" s="108" t="s">
        <v>52</v>
      </c>
      <c r="B31" s="115">
        <v>1</v>
      </c>
      <c r="C31" s="666" t="s">
        <v>53</v>
      </c>
      <c r="D31" s="667"/>
      <c r="E31" s="667"/>
      <c r="F31" s="667"/>
      <c r="G31" s="667"/>
      <c r="H31" s="668"/>
      <c r="I31" s="111"/>
      <c r="J31" s="111"/>
      <c r="K31" s="111"/>
      <c r="L31" s="111"/>
    </row>
    <row r="32" spans="1:14" s="14" customFormat="1" ht="27" customHeight="1" x14ac:dyDescent="0.4">
      <c r="A32" s="108" t="s">
        <v>54</v>
      </c>
      <c r="B32" s="115">
        <v>1</v>
      </c>
      <c r="C32" s="666" t="s">
        <v>55</v>
      </c>
      <c r="D32" s="667"/>
      <c r="E32" s="667"/>
      <c r="F32" s="667"/>
      <c r="G32" s="667"/>
      <c r="H32" s="668"/>
      <c r="I32" s="111"/>
      <c r="J32" s="111"/>
      <c r="K32" s="111"/>
      <c r="L32" s="116"/>
      <c r="M32" s="116"/>
      <c r="N32" s="117"/>
    </row>
    <row r="33" spans="1:14" s="14" customFormat="1" ht="17.25" customHeight="1" x14ac:dyDescent="0.3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4" customFormat="1" ht="18.75" x14ac:dyDescent="0.3">
      <c r="A34" s="108" t="s">
        <v>56</v>
      </c>
      <c r="B34" s="120">
        <f>B31/B32</f>
        <v>1</v>
      </c>
      <c r="C34" s="99" t="s">
        <v>57</v>
      </c>
      <c r="D34" s="99"/>
      <c r="E34" s="99"/>
      <c r="F34" s="99"/>
      <c r="G34" s="99"/>
      <c r="I34" s="111"/>
      <c r="J34" s="111"/>
      <c r="K34" s="111"/>
      <c r="L34" s="116"/>
      <c r="M34" s="116"/>
      <c r="N34" s="117"/>
    </row>
    <row r="35" spans="1:14" s="14" customFormat="1" ht="19.5" customHeight="1" x14ac:dyDescent="0.3">
      <c r="A35" s="108"/>
      <c r="B35" s="112"/>
      <c r="G35" s="99"/>
      <c r="I35" s="111"/>
      <c r="J35" s="111"/>
      <c r="K35" s="111"/>
      <c r="L35" s="116"/>
      <c r="M35" s="116"/>
      <c r="N35" s="117"/>
    </row>
    <row r="36" spans="1:14" s="14" customFormat="1" ht="27" customHeight="1" x14ac:dyDescent="0.4">
      <c r="A36" s="121" t="s">
        <v>58</v>
      </c>
      <c r="B36" s="122">
        <v>100</v>
      </c>
      <c r="C36" s="99"/>
      <c r="D36" s="669" t="s">
        <v>59</v>
      </c>
      <c r="E36" s="670"/>
      <c r="F36" s="669" t="s">
        <v>60</v>
      </c>
      <c r="G36" s="671"/>
      <c r="J36" s="111"/>
      <c r="K36" s="111"/>
      <c r="L36" s="116"/>
      <c r="M36" s="116"/>
      <c r="N36" s="117"/>
    </row>
    <row r="37" spans="1:14" s="14" customFormat="1" ht="27" customHeight="1" x14ac:dyDescent="0.4">
      <c r="A37" s="123" t="s">
        <v>61</v>
      </c>
      <c r="B37" s="124">
        <v>1</v>
      </c>
      <c r="C37" s="125" t="s">
        <v>62</v>
      </c>
      <c r="D37" s="126" t="s">
        <v>63</v>
      </c>
      <c r="E37" s="127" t="s">
        <v>64</v>
      </c>
      <c r="F37" s="126" t="s">
        <v>63</v>
      </c>
      <c r="G37" s="128" t="s">
        <v>64</v>
      </c>
      <c r="I37" s="129" t="s">
        <v>65</v>
      </c>
      <c r="J37" s="111"/>
      <c r="K37" s="111"/>
      <c r="L37" s="116"/>
      <c r="M37" s="116"/>
      <c r="N37" s="117"/>
    </row>
    <row r="38" spans="1:14" s="14" customFormat="1" ht="26.25" customHeight="1" x14ac:dyDescent="0.4">
      <c r="A38" s="123" t="s">
        <v>66</v>
      </c>
      <c r="B38" s="124">
        <v>1</v>
      </c>
      <c r="C38" s="130">
        <v>1</v>
      </c>
      <c r="D38" s="131">
        <v>7530658</v>
      </c>
      <c r="E38" s="132">
        <f>IF(ISBLANK(D38),"-",$D$48/$D$45*D38)</f>
        <v>6811623.068851985</v>
      </c>
      <c r="F38" s="131">
        <v>6643464</v>
      </c>
      <c r="G38" s="133">
        <f>IF(ISBLANK(F38),"-",$D$48/$F$45*F38)</f>
        <v>6819317.1407675426</v>
      </c>
      <c r="I38" s="134"/>
      <c r="J38" s="111"/>
      <c r="K38" s="111"/>
      <c r="L38" s="116"/>
      <c r="M38" s="116"/>
      <c r="N38" s="117"/>
    </row>
    <row r="39" spans="1:14" s="14" customFormat="1" ht="26.25" customHeight="1" x14ac:dyDescent="0.4">
      <c r="A39" s="123" t="s">
        <v>67</v>
      </c>
      <c r="B39" s="124">
        <v>1</v>
      </c>
      <c r="C39" s="135">
        <v>2</v>
      </c>
      <c r="D39" s="136">
        <v>7502031</v>
      </c>
      <c r="E39" s="137">
        <f>IF(ISBLANK(D39),"-",$D$48/$D$45*D39)</f>
        <v>6785729.4041028991</v>
      </c>
      <c r="F39" s="136">
        <v>6624591</v>
      </c>
      <c r="G39" s="138">
        <f>IF(ISBLANK(F39),"-",$D$48/$F$45*F39)</f>
        <v>6799944.5706147263</v>
      </c>
      <c r="I39" s="673">
        <f>ABS((F43/D43*D42)-F42)/D42</f>
        <v>1.2652525095433311E-3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68</v>
      </c>
      <c r="B40" s="124">
        <v>1</v>
      </c>
      <c r="C40" s="135">
        <v>3</v>
      </c>
      <c r="D40" s="136">
        <v>7472903</v>
      </c>
      <c r="E40" s="137">
        <f>IF(ISBLANK(D40),"-",$D$48/$D$45*D40)</f>
        <v>6759382.5753464317</v>
      </c>
      <c r="F40" s="136">
        <v>6592206</v>
      </c>
      <c r="G40" s="138">
        <f>IF(ISBLANK(F40),"-",$D$48/$F$45*F40)</f>
        <v>6766702.3365025595</v>
      </c>
      <c r="I40" s="673"/>
      <c r="L40" s="116"/>
      <c r="M40" s="116"/>
      <c r="N40" s="139"/>
    </row>
    <row r="41" spans="1:14" ht="27" customHeight="1" x14ac:dyDescent="0.4">
      <c r="A41" s="123" t="s">
        <v>69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 x14ac:dyDescent="0.4">
      <c r="A42" s="123" t="s">
        <v>70</v>
      </c>
      <c r="B42" s="124">
        <v>1</v>
      </c>
      <c r="C42" s="145" t="s">
        <v>71</v>
      </c>
      <c r="D42" s="146">
        <f>AVERAGE(D38:D41)</f>
        <v>7501864</v>
      </c>
      <c r="E42" s="147">
        <f>AVERAGE(E38:E41)</f>
        <v>6785578.3494337723</v>
      </c>
      <c r="F42" s="146">
        <f>AVERAGE(F38:F41)</f>
        <v>6620087</v>
      </c>
      <c r="G42" s="148">
        <f>AVERAGE(G38:G41)</f>
        <v>6795321.3492949428</v>
      </c>
      <c r="H42" s="149"/>
    </row>
    <row r="43" spans="1:14" ht="26.25" customHeight="1" x14ac:dyDescent="0.4">
      <c r="A43" s="123" t="s">
        <v>72</v>
      </c>
      <c r="B43" s="124">
        <v>1</v>
      </c>
      <c r="C43" s="150" t="s">
        <v>73</v>
      </c>
      <c r="D43" s="151">
        <v>17.760000000000002</v>
      </c>
      <c r="E43" s="139"/>
      <c r="F43" s="151">
        <v>15.65</v>
      </c>
      <c r="H43" s="149"/>
    </row>
    <row r="44" spans="1:14" ht="26.25" customHeight="1" x14ac:dyDescent="0.4">
      <c r="A44" s="123" t="s">
        <v>74</v>
      </c>
      <c r="B44" s="124">
        <v>1</v>
      </c>
      <c r="C44" s="152" t="s">
        <v>75</v>
      </c>
      <c r="D44" s="153">
        <f>D43*$B$34</f>
        <v>17.760000000000002</v>
      </c>
      <c r="E44" s="154"/>
      <c r="F44" s="153">
        <f>F43*$B$34</f>
        <v>15.65</v>
      </c>
      <c r="H44" s="149"/>
    </row>
    <row r="45" spans="1:14" ht="19.5" customHeight="1" x14ac:dyDescent="0.3">
      <c r="A45" s="123" t="s">
        <v>76</v>
      </c>
      <c r="B45" s="155">
        <f>(B44/B43)*(B42/B41)*(B40/B39)*(B38/B37)*B36</f>
        <v>100</v>
      </c>
      <c r="C45" s="152" t="s">
        <v>77</v>
      </c>
      <c r="D45" s="156">
        <f>D44*$B$30/100</f>
        <v>17.688959999999998</v>
      </c>
      <c r="E45" s="157"/>
      <c r="F45" s="156">
        <f>F44*$B$30/100</f>
        <v>15.587400000000001</v>
      </c>
      <c r="H45" s="149"/>
    </row>
    <row r="46" spans="1:14" ht="19.5" customHeight="1" x14ac:dyDescent="0.3">
      <c r="A46" s="674" t="s">
        <v>78</v>
      </c>
      <c r="B46" s="675"/>
      <c r="C46" s="152" t="s">
        <v>79</v>
      </c>
      <c r="D46" s="158">
        <f>D45/$B$45</f>
        <v>0.17688959999999998</v>
      </c>
      <c r="E46" s="159"/>
      <c r="F46" s="160">
        <f>F45/$B$45</f>
        <v>0.15587400000000001</v>
      </c>
      <c r="H46" s="149"/>
    </row>
    <row r="47" spans="1:14" ht="27" customHeight="1" x14ac:dyDescent="0.4">
      <c r="A47" s="676"/>
      <c r="B47" s="677"/>
      <c r="C47" s="161" t="s">
        <v>80</v>
      </c>
      <c r="D47" s="162">
        <v>0.16</v>
      </c>
      <c r="E47" s="163"/>
      <c r="F47" s="159"/>
      <c r="H47" s="149"/>
    </row>
    <row r="48" spans="1:14" ht="18.75" x14ac:dyDescent="0.3">
      <c r="C48" s="164" t="s">
        <v>81</v>
      </c>
      <c r="D48" s="156">
        <f>D47*$B$45</f>
        <v>16</v>
      </c>
      <c r="F48" s="165"/>
      <c r="H48" s="149"/>
    </row>
    <row r="49" spans="1:12" ht="19.5" customHeight="1" x14ac:dyDescent="0.3">
      <c r="C49" s="166" t="s">
        <v>82</v>
      </c>
      <c r="D49" s="167">
        <f>D48/B34</f>
        <v>16</v>
      </c>
      <c r="F49" s="165"/>
      <c r="H49" s="149"/>
    </row>
    <row r="50" spans="1:12" ht="18.75" x14ac:dyDescent="0.3">
      <c r="C50" s="121" t="s">
        <v>83</v>
      </c>
      <c r="D50" s="168">
        <f>AVERAGE(E38:E41,G38:G41)</f>
        <v>6790449.849364358</v>
      </c>
      <c r="F50" s="169"/>
      <c r="H50" s="149"/>
    </row>
    <row r="51" spans="1:12" ht="18.75" x14ac:dyDescent="0.3">
      <c r="C51" s="123" t="s">
        <v>84</v>
      </c>
      <c r="D51" s="170">
        <f>STDEV(E38:E41,G38:G41)/D50</f>
        <v>3.5607712850835934E-3</v>
      </c>
      <c r="F51" s="169"/>
      <c r="H51" s="149"/>
    </row>
    <row r="52" spans="1:12" ht="19.5" customHeight="1" x14ac:dyDescent="0.3">
      <c r="C52" s="171" t="s">
        <v>20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85</v>
      </c>
    </row>
    <row r="55" spans="1:12" ht="18.75" x14ac:dyDescent="0.3">
      <c r="A55" s="99" t="s">
        <v>86</v>
      </c>
      <c r="B55" s="175" t="str">
        <f>B21</f>
        <v xml:space="preserve">Rifampicin 60mg, Isoniazid 30mg, Pyrazinamide 150mg 
</v>
      </c>
    </row>
    <row r="56" spans="1:12" ht="26.25" customHeight="1" x14ac:dyDescent="0.4">
      <c r="A56" s="176" t="s">
        <v>87</v>
      </c>
      <c r="B56" s="177">
        <v>60</v>
      </c>
      <c r="C56" s="99" t="str">
        <f>B20</f>
        <v xml:space="preserve">Rifampicin, Isoniazid, Pyrazinamide 
</v>
      </c>
      <c r="H56" s="178"/>
    </row>
    <row r="57" spans="1:12" ht="18.75" x14ac:dyDescent="0.3">
      <c r="A57" s="175" t="s">
        <v>88</v>
      </c>
      <c r="B57" s="267">
        <f>Uniformity!C46</f>
        <v>296.93700000000001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1" t="s">
        <v>89</v>
      </c>
      <c r="B59" s="122">
        <v>100</v>
      </c>
      <c r="C59" s="99"/>
      <c r="D59" s="179" t="s">
        <v>90</v>
      </c>
      <c r="E59" s="180" t="s">
        <v>62</v>
      </c>
      <c r="F59" s="180" t="s">
        <v>63</v>
      </c>
      <c r="G59" s="180" t="s">
        <v>91</v>
      </c>
      <c r="H59" s="125" t="s">
        <v>92</v>
      </c>
      <c r="L59" s="111"/>
    </row>
    <row r="60" spans="1:12" s="14" customFormat="1" ht="26.25" customHeight="1" x14ac:dyDescent="0.4">
      <c r="A60" s="123" t="s">
        <v>93</v>
      </c>
      <c r="B60" s="124">
        <v>1</v>
      </c>
      <c r="C60" s="678" t="s">
        <v>94</v>
      </c>
      <c r="D60" s="681">
        <v>78.349999999999994</v>
      </c>
      <c r="E60" s="181">
        <v>1</v>
      </c>
      <c r="F60" s="182">
        <v>6440271</v>
      </c>
      <c r="G60" s="268">
        <f>IF(ISBLANK(F60),"-",(F60/$D$50*$D$47*$B$68)*($B$57/$D$60))</f>
        <v>57.510996752095558</v>
      </c>
      <c r="H60" s="183">
        <f t="shared" ref="H60:H71" si="0">IF(ISBLANK(F60),"-",G60/$B$56)</f>
        <v>0.95851661253492593</v>
      </c>
      <c r="L60" s="111"/>
    </row>
    <row r="61" spans="1:12" s="14" customFormat="1" ht="26.25" customHeight="1" x14ac:dyDescent="0.4">
      <c r="A61" s="123" t="s">
        <v>95</v>
      </c>
      <c r="B61" s="124">
        <v>1</v>
      </c>
      <c r="C61" s="679"/>
      <c r="D61" s="682"/>
      <c r="E61" s="184">
        <v>2</v>
      </c>
      <c r="F61" s="136">
        <v>6415472</v>
      </c>
      <c r="G61" s="269">
        <f>IF(ISBLANK(F61),"-",(F61/$D$50*$D$47*$B$68)*($B$57/$D$60))</f>
        <v>57.289544082098395</v>
      </c>
      <c r="H61" s="185">
        <f t="shared" si="0"/>
        <v>0.95482573470163989</v>
      </c>
      <c r="L61" s="111"/>
    </row>
    <row r="62" spans="1:12" s="14" customFormat="1" ht="26.25" customHeight="1" x14ac:dyDescent="0.4">
      <c r="A62" s="123" t="s">
        <v>96</v>
      </c>
      <c r="B62" s="124">
        <v>1</v>
      </c>
      <c r="C62" s="679"/>
      <c r="D62" s="682"/>
      <c r="E62" s="184">
        <v>3</v>
      </c>
      <c r="F62" s="186">
        <v>6412209</v>
      </c>
      <c r="G62" s="269">
        <f>IF(ISBLANK(F62),"-",(F62/$D$50*$D$47*$B$68)*($B$57/$D$60))</f>
        <v>57.260405807885697</v>
      </c>
      <c r="H62" s="185">
        <f t="shared" si="0"/>
        <v>0.95434009679809495</v>
      </c>
      <c r="L62" s="111"/>
    </row>
    <row r="63" spans="1:12" ht="27" customHeight="1" x14ac:dyDescent="0.4">
      <c r="A63" s="123" t="s">
        <v>97</v>
      </c>
      <c r="B63" s="124">
        <v>1</v>
      </c>
      <c r="C63" s="680"/>
      <c r="D63" s="683"/>
      <c r="E63" s="187">
        <v>4</v>
      </c>
      <c r="F63" s="188"/>
      <c r="G63" s="269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3" t="s">
        <v>98</v>
      </c>
      <c r="B64" s="124">
        <v>1</v>
      </c>
      <c r="C64" s="678" t="s">
        <v>99</v>
      </c>
      <c r="D64" s="681">
        <v>82.78</v>
      </c>
      <c r="E64" s="181">
        <v>1</v>
      </c>
      <c r="F64" s="182">
        <v>6504916</v>
      </c>
      <c r="G64" s="270">
        <f>IF(ISBLANK(F64),"-",(F64/$D$50*$D$47*$B$68)*($B$57/$D$64))</f>
        <v>54.979656699671011</v>
      </c>
      <c r="H64" s="189">
        <f t="shared" si="0"/>
        <v>0.91632761166118348</v>
      </c>
    </row>
    <row r="65" spans="1:8" ht="26.25" customHeight="1" x14ac:dyDescent="0.4">
      <c r="A65" s="123" t="s">
        <v>100</v>
      </c>
      <c r="B65" s="124">
        <v>1</v>
      </c>
      <c r="C65" s="679"/>
      <c r="D65" s="682"/>
      <c r="E65" s="184">
        <v>2</v>
      </c>
      <c r="F65" s="136"/>
      <c r="G65" s="271" t="str">
        <f>IF(ISBLANK(F65),"-",(F65/$D$50*$D$47*$B$68)*($B$57/$D$64))</f>
        <v>-</v>
      </c>
      <c r="H65" s="190" t="str">
        <f t="shared" si="0"/>
        <v>-</v>
      </c>
    </row>
    <row r="66" spans="1:8" ht="26.25" customHeight="1" x14ac:dyDescent="0.4">
      <c r="A66" s="123" t="s">
        <v>101</v>
      </c>
      <c r="B66" s="124">
        <v>1</v>
      </c>
      <c r="C66" s="679"/>
      <c r="D66" s="682"/>
      <c r="E66" s="184">
        <v>3</v>
      </c>
      <c r="F66" s="136"/>
      <c r="G66" s="271" t="str">
        <f>IF(ISBLANK(F66),"-",(F66/$D$50*$D$47*$B$68)*($B$57/$D$64))</f>
        <v>-</v>
      </c>
      <c r="H66" s="190" t="str">
        <f t="shared" si="0"/>
        <v>-</v>
      </c>
    </row>
    <row r="67" spans="1:8" ht="27" customHeight="1" x14ac:dyDescent="0.4">
      <c r="A67" s="123" t="s">
        <v>102</v>
      </c>
      <c r="B67" s="124">
        <v>1</v>
      </c>
      <c r="C67" s="680"/>
      <c r="D67" s="683"/>
      <c r="E67" s="187">
        <v>4</v>
      </c>
      <c r="F67" s="188"/>
      <c r="G67" s="272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3" t="s">
        <v>103</v>
      </c>
      <c r="B68" s="192">
        <f>(B67/B66)*(B65/B64)*(B63/B62)*(B61/B60)*B59</f>
        <v>100</v>
      </c>
      <c r="C68" s="678" t="s">
        <v>104</v>
      </c>
      <c r="D68" s="681">
        <v>80.75</v>
      </c>
      <c r="E68" s="181">
        <v>1</v>
      </c>
      <c r="F68" s="182">
        <v>6634822</v>
      </c>
      <c r="G68" s="270">
        <f>IF(ISBLANK(F68),"-",(F68/$D$50*$D$47*$B$68)*($B$57/$D$68))</f>
        <v>57.487377622539469</v>
      </c>
      <c r="H68" s="185">
        <f t="shared" si="0"/>
        <v>0.95812296037565781</v>
      </c>
    </row>
    <row r="69" spans="1:8" ht="27" customHeight="1" x14ac:dyDescent="0.4">
      <c r="A69" s="171" t="s">
        <v>105</v>
      </c>
      <c r="B69" s="193">
        <f>(D47*B68)/B56*B57</f>
        <v>79.183199999999999</v>
      </c>
      <c r="C69" s="679"/>
      <c r="D69" s="682"/>
      <c r="E69" s="184">
        <v>2</v>
      </c>
      <c r="F69" s="136">
        <v>6627019</v>
      </c>
      <c r="G69" s="271">
        <f>IF(ISBLANK(F69),"-",(F69/$D$50*$D$47*$B$68)*($B$57/$D$68))</f>
        <v>57.419768573255446</v>
      </c>
      <c r="H69" s="185">
        <f t="shared" si="0"/>
        <v>0.95699614288759072</v>
      </c>
    </row>
    <row r="70" spans="1:8" ht="26.25" customHeight="1" x14ac:dyDescent="0.4">
      <c r="A70" s="691" t="s">
        <v>78</v>
      </c>
      <c r="B70" s="692"/>
      <c r="C70" s="679"/>
      <c r="D70" s="682"/>
      <c r="E70" s="184">
        <v>3</v>
      </c>
      <c r="F70" s="136"/>
      <c r="G70" s="271" t="str">
        <f>IF(ISBLANK(F70),"-",(F70/$D$50*$D$47*$B$68)*($B$57/$D$68))</f>
        <v>-</v>
      </c>
      <c r="H70" s="185" t="str">
        <f t="shared" si="0"/>
        <v>-</v>
      </c>
    </row>
    <row r="71" spans="1:8" ht="27" customHeight="1" x14ac:dyDescent="0.4">
      <c r="A71" s="693"/>
      <c r="B71" s="694"/>
      <c r="C71" s="690"/>
      <c r="D71" s="683"/>
      <c r="E71" s="187">
        <v>4</v>
      </c>
      <c r="F71" s="188"/>
      <c r="G71" s="272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195"/>
      <c r="B72" s="195"/>
      <c r="C72" s="195"/>
      <c r="D72" s="195"/>
      <c r="E72" s="195"/>
      <c r="F72" s="197" t="s">
        <v>71</v>
      </c>
      <c r="G72" s="277">
        <f>AVERAGE(G60:G71)</f>
        <v>56.991291589590929</v>
      </c>
      <c r="H72" s="198">
        <f>AVERAGE(H60:H71)</f>
        <v>0.94985485982651552</v>
      </c>
    </row>
    <row r="73" spans="1:8" ht="26.25" customHeight="1" x14ac:dyDescent="0.4">
      <c r="C73" s="195"/>
      <c r="D73" s="195"/>
      <c r="E73" s="195"/>
      <c r="F73" s="199" t="s">
        <v>84</v>
      </c>
      <c r="G73" s="273">
        <f>STDEV(G60:G71)/G72</f>
        <v>1.7384078093018548E-2</v>
      </c>
      <c r="H73" s="273">
        <f>STDEV(H60:H71)/H72</f>
        <v>1.7384078093018552E-2</v>
      </c>
    </row>
    <row r="74" spans="1:8" ht="27" customHeight="1" x14ac:dyDescent="0.4">
      <c r="A74" s="195"/>
      <c r="B74" s="195"/>
      <c r="C74" s="196"/>
      <c r="D74" s="196"/>
      <c r="E74" s="200"/>
      <c r="F74" s="201" t="s">
        <v>20</v>
      </c>
      <c r="G74" s="202">
        <f>COUNT(G60:G71)</f>
        <v>6</v>
      </c>
      <c r="H74" s="202">
        <f>COUNT(H60:H71)</f>
        <v>6</v>
      </c>
    </row>
    <row r="76" spans="1:8" ht="26.25" customHeight="1" x14ac:dyDescent="0.4">
      <c r="A76" s="107" t="s">
        <v>106</v>
      </c>
      <c r="B76" s="203" t="s">
        <v>107</v>
      </c>
      <c r="C76" s="686" t="str">
        <f>B20</f>
        <v xml:space="preserve">Rifampicin, Isoniazid, Pyrazinamide 
</v>
      </c>
      <c r="D76" s="686"/>
      <c r="E76" s="204" t="s">
        <v>108</v>
      </c>
      <c r="F76" s="204"/>
      <c r="G76" s="205">
        <f>H72</f>
        <v>0.94985485982651552</v>
      </c>
      <c r="H76" s="206"/>
    </row>
    <row r="77" spans="1:8" ht="18.75" x14ac:dyDescent="0.3">
      <c r="A77" s="106" t="s">
        <v>109</v>
      </c>
      <c r="B77" s="106" t="s">
        <v>110</v>
      </c>
    </row>
    <row r="78" spans="1:8" ht="18.75" x14ac:dyDescent="0.3">
      <c r="A78" s="106"/>
      <c r="B78" s="106"/>
    </row>
    <row r="79" spans="1:8" ht="26.25" customHeight="1" x14ac:dyDescent="0.4">
      <c r="A79" s="107" t="s">
        <v>4</v>
      </c>
      <c r="B79" s="672" t="str">
        <f>B26</f>
        <v>Rifampicin</v>
      </c>
      <c r="C79" s="672"/>
    </row>
    <row r="80" spans="1:8" ht="26.25" customHeight="1" x14ac:dyDescent="0.4">
      <c r="A80" s="108" t="s">
        <v>48</v>
      </c>
      <c r="B80" s="672" t="str">
        <f>B27</f>
        <v>R5-1</v>
      </c>
      <c r="C80" s="672"/>
    </row>
    <row r="81" spans="1:12" ht="27" customHeight="1" x14ac:dyDescent="0.4">
      <c r="A81" s="108" t="s">
        <v>6</v>
      </c>
      <c r="B81" s="207">
        <f>B28</f>
        <v>99.6</v>
      </c>
    </row>
    <row r="82" spans="1:12" s="14" customFormat="1" ht="27" customHeight="1" x14ac:dyDescent="0.4">
      <c r="A82" s="108" t="s">
        <v>49</v>
      </c>
      <c r="B82" s="110">
        <v>0</v>
      </c>
      <c r="C82" s="663" t="s">
        <v>50</v>
      </c>
      <c r="D82" s="664"/>
      <c r="E82" s="664"/>
      <c r="F82" s="664"/>
      <c r="G82" s="665"/>
      <c r="I82" s="111"/>
      <c r="J82" s="111"/>
      <c r="K82" s="111"/>
      <c r="L82" s="111"/>
    </row>
    <row r="83" spans="1:12" s="14" customFormat="1" ht="19.5" customHeight="1" x14ac:dyDescent="0.3">
      <c r="A83" s="108" t="s">
        <v>51</v>
      </c>
      <c r="B83" s="112">
        <f>B81-B82</f>
        <v>99.6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4" customFormat="1" ht="27" customHeight="1" x14ac:dyDescent="0.4">
      <c r="A84" s="108" t="s">
        <v>52</v>
      </c>
      <c r="B84" s="115">
        <v>1</v>
      </c>
      <c r="C84" s="666" t="s">
        <v>111</v>
      </c>
      <c r="D84" s="667"/>
      <c r="E84" s="667"/>
      <c r="F84" s="667"/>
      <c r="G84" s="667"/>
      <c r="H84" s="668"/>
      <c r="I84" s="111"/>
      <c r="J84" s="111"/>
      <c r="K84" s="111"/>
      <c r="L84" s="111"/>
    </row>
    <row r="85" spans="1:12" s="14" customFormat="1" ht="27" customHeight="1" x14ac:dyDescent="0.4">
      <c r="A85" s="108" t="s">
        <v>54</v>
      </c>
      <c r="B85" s="115">
        <v>1</v>
      </c>
      <c r="C85" s="666" t="s">
        <v>112</v>
      </c>
      <c r="D85" s="667"/>
      <c r="E85" s="667"/>
      <c r="F85" s="667"/>
      <c r="G85" s="667"/>
      <c r="H85" s="668"/>
      <c r="I85" s="111"/>
      <c r="J85" s="111"/>
      <c r="K85" s="111"/>
      <c r="L85" s="111"/>
    </row>
    <row r="86" spans="1:12" s="14" customFormat="1" ht="18.75" x14ac:dyDescent="0.3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4" customFormat="1" ht="18.75" x14ac:dyDescent="0.3">
      <c r="A87" s="108" t="s">
        <v>56</v>
      </c>
      <c r="B87" s="120">
        <f>B84/B85</f>
        <v>1</v>
      </c>
      <c r="C87" s="99" t="s">
        <v>57</v>
      </c>
      <c r="D87" s="99"/>
      <c r="E87" s="99"/>
      <c r="F87" s="99"/>
      <c r="G87" s="99"/>
      <c r="I87" s="111"/>
      <c r="J87" s="111"/>
      <c r="K87" s="111"/>
      <c r="L87" s="111"/>
    </row>
    <row r="88" spans="1:12" ht="19.5" customHeight="1" x14ac:dyDescent="0.3">
      <c r="A88" s="106"/>
      <c r="B88" s="106"/>
    </row>
    <row r="89" spans="1:12" ht="27" customHeight="1" x14ac:dyDescent="0.4">
      <c r="A89" s="121" t="s">
        <v>58</v>
      </c>
      <c r="B89" s="122">
        <v>100</v>
      </c>
      <c r="D89" s="208" t="s">
        <v>59</v>
      </c>
      <c r="E89" s="209"/>
      <c r="F89" s="669" t="s">
        <v>60</v>
      </c>
      <c r="G89" s="671"/>
    </row>
    <row r="90" spans="1:12" ht="27" customHeight="1" x14ac:dyDescent="0.4">
      <c r="A90" s="123" t="s">
        <v>61</v>
      </c>
      <c r="B90" s="124">
        <v>10</v>
      </c>
      <c r="C90" s="210" t="s">
        <v>62</v>
      </c>
      <c r="D90" s="126" t="s">
        <v>63</v>
      </c>
      <c r="E90" s="127" t="s">
        <v>64</v>
      </c>
      <c r="F90" s="126" t="s">
        <v>63</v>
      </c>
      <c r="G90" s="211" t="s">
        <v>64</v>
      </c>
      <c r="I90" s="129" t="s">
        <v>65</v>
      </c>
    </row>
    <row r="91" spans="1:12" ht="26.25" customHeight="1" x14ac:dyDescent="0.4">
      <c r="A91" s="123" t="s">
        <v>66</v>
      </c>
      <c r="B91" s="124">
        <v>25</v>
      </c>
      <c r="C91" s="212">
        <v>1</v>
      </c>
      <c r="D91" s="131">
        <v>2774292</v>
      </c>
      <c r="E91" s="132">
        <f>IF(ISBLANK(D91),"-",$D$101/$D$98*D91)</f>
        <v>2613958.0845906152</v>
      </c>
      <c r="F91" s="131">
        <v>2468936</v>
      </c>
      <c r="G91" s="133">
        <f>IF(ISBLANK(F91),"-",$D$101/$F$98*F91)</f>
        <v>2639884.3510356653</v>
      </c>
      <c r="I91" s="134"/>
    </row>
    <row r="92" spans="1:12" ht="26.25" customHeight="1" x14ac:dyDescent="0.4">
      <c r="A92" s="123" t="s">
        <v>67</v>
      </c>
      <c r="B92" s="124">
        <v>1</v>
      </c>
      <c r="C92" s="196">
        <v>2</v>
      </c>
      <c r="D92" s="136">
        <v>2774581</v>
      </c>
      <c r="E92" s="137">
        <f>IF(ISBLANK(D92),"-",$D$101/$D$98*D92)</f>
        <v>2614230.382490925</v>
      </c>
      <c r="F92" s="136">
        <v>2462497</v>
      </c>
      <c r="G92" s="138">
        <f>IF(ISBLANK(F92),"-",$D$101/$F$98*F92)</f>
        <v>2632999.516703662</v>
      </c>
      <c r="I92" s="673">
        <f>ABS((F96/D96*D95)-F95)/D95</f>
        <v>8.963898497979416E-3</v>
      </c>
    </row>
    <row r="93" spans="1:12" ht="26.25" customHeight="1" x14ac:dyDescent="0.4">
      <c r="A93" s="123" t="s">
        <v>68</v>
      </c>
      <c r="B93" s="124">
        <v>1</v>
      </c>
      <c r="C93" s="196">
        <v>3</v>
      </c>
      <c r="D93" s="136">
        <v>2756107</v>
      </c>
      <c r="E93" s="137">
        <f>IF(ISBLANK(D93),"-",$D$101/$D$98*D93)</f>
        <v>2596824.0454309736</v>
      </c>
      <c r="F93" s="136">
        <v>2461308</v>
      </c>
      <c r="G93" s="138">
        <f>IF(ISBLANK(F93),"-",$D$101/$F$98*F93)</f>
        <v>2631728.1907181442</v>
      </c>
      <c r="I93" s="673"/>
    </row>
    <row r="94" spans="1:12" ht="27" customHeight="1" x14ac:dyDescent="0.4">
      <c r="A94" s="123" t="s">
        <v>69</v>
      </c>
      <c r="B94" s="124">
        <v>1</v>
      </c>
      <c r="C94" s="213">
        <v>4</v>
      </c>
      <c r="D94" s="141"/>
      <c r="E94" s="142" t="str">
        <f>IF(ISBLANK(D94),"-",$D$101/$D$98*D94)</f>
        <v>-</v>
      </c>
      <c r="F94" s="214"/>
      <c r="G94" s="143" t="str">
        <f>IF(ISBLANK(F94),"-",$D$101/$F$98*F94)</f>
        <v>-</v>
      </c>
      <c r="I94" s="144"/>
    </row>
    <row r="95" spans="1:12" ht="27" customHeight="1" x14ac:dyDescent="0.4">
      <c r="A95" s="123" t="s">
        <v>70</v>
      </c>
      <c r="B95" s="124">
        <v>1</v>
      </c>
      <c r="C95" s="215" t="s">
        <v>71</v>
      </c>
      <c r="D95" s="216">
        <f>AVERAGE(D91:D94)</f>
        <v>2768326.6666666665</v>
      </c>
      <c r="E95" s="147">
        <f>AVERAGE(E91:E94)</f>
        <v>2608337.5041708383</v>
      </c>
      <c r="F95" s="217">
        <f>AVERAGE(F91:F94)</f>
        <v>2464247</v>
      </c>
      <c r="G95" s="218">
        <f>AVERAGE(G91:G94)</f>
        <v>2634870.6861524903</v>
      </c>
    </row>
    <row r="96" spans="1:12" ht="26.25" customHeight="1" x14ac:dyDescent="0.4">
      <c r="A96" s="123" t="s">
        <v>72</v>
      </c>
      <c r="B96" s="109">
        <v>1</v>
      </c>
      <c r="C96" s="219" t="s">
        <v>113</v>
      </c>
      <c r="D96" s="220">
        <v>17.760000000000002</v>
      </c>
      <c r="E96" s="139"/>
      <c r="F96" s="151">
        <v>15.65</v>
      </c>
    </row>
    <row r="97" spans="1:10" ht="26.25" customHeight="1" x14ac:dyDescent="0.4">
      <c r="A97" s="123" t="s">
        <v>74</v>
      </c>
      <c r="B97" s="109">
        <v>1</v>
      </c>
      <c r="C97" s="221" t="s">
        <v>114</v>
      </c>
      <c r="D97" s="222">
        <f>D96*$B$87</f>
        <v>17.760000000000002</v>
      </c>
      <c r="E97" s="154"/>
      <c r="F97" s="153">
        <f>F96*$B$87</f>
        <v>15.65</v>
      </c>
    </row>
    <row r="98" spans="1:10" ht="19.5" customHeight="1" x14ac:dyDescent="0.3">
      <c r="A98" s="123" t="s">
        <v>76</v>
      </c>
      <c r="B98" s="223">
        <f>(B97/B96)*(B95/B94)*(B93/B92)*(B91/B90)*B89</f>
        <v>250</v>
      </c>
      <c r="C98" s="221" t="s">
        <v>115</v>
      </c>
      <c r="D98" s="224">
        <f>D97*$B$83/100</f>
        <v>17.688959999999998</v>
      </c>
      <c r="E98" s="157"/>
      <c r="F98" s="156">
        <f>F97*$B$83/100</f>
        <v>15.587400000000001</v>
      </c>
    </row>
    <row r="99" spans="1:10" ht="19.5" customHeight="1" x14ac:dyDescent="0.3">
      <c r="A99" s="674" t="s">
        <v>78</v>
      </c>
      <c r="B99" s="688"/>
      <c r="C99" s="221" t="s">
        <v>116</v>
      </c>
      <c r="D99" s="225">
        <f>D98/$B$98</f>
        <v>7.0755839999999987E-2</v>
      </c>
      <c r="E99" s="157"/>
      <c r="F99" s="160">
        <f>F98/$B$98</f>
        <v>6.2349600000000005E-2</v>
      </c>
      <c r="G99" s="226"/>
      <c r="H99" s="149"/>
    </row>
    <row r="100" spans="1:10" ht="19.5" customHeight="1" x14ac:dyDescent="0.3">
      <c r="A100" s="676"/>
      <c r="B100" s="689"/>
      <c r="C100" s="221" t="s">
        <v>80</v>
      </c>
      <c r="D100" s="227">
        <f>$B$56/$B$116</f>
        <v>6.6666666666666666E-2</v>
      </c>
      <c r="F100" s="165"/>
      <c r="G100" s="228"/>
      <c r="H100" s="149"/>
    </row>
    <row r="101" spans="1:10" ht="18.75" x14ac:dyDescent="0.3">
      <c r="C101" s="221" t="s">
        <v>81</v>
      </c>
      <c r="D101" s="222">
        <f>D100*$B$98</f>
        <v>16.666666666666668</v>
      </c>
      <c r="F101" s="165"/>
      <c r="G101" s="226"/>
      <c r="H101" s="149"/>
    </row>
    <row r="102" spans="1:10" ht="19.5" customHeight="1" x14ac:dyDescent="0.3">
      <c r="C102" s="229" t="s">
        <v>82</v>
      </c>
      <c r="D102" s="230">
        <f>D101/B34</f>
        <v>16.666666666666668</v>
      </c>
      <c r="F102" s="169"/>
      <c r="G102" s="226"/>
      <c r="H102" s="149"/>
      <c r="J102" s="231"/>
    </row>
    <row r="103" spans="1:10" ht="18.75" x14ac:dyDescent="0.3">
      <c r="C103" s="232" t="s">
        <v>117</v>
      </c>
      <c r="D103" s="233">
        <f>AVERAGE(E91:E94,G91:G94)</f>
        <v>2621604.0951616643</v>
      </c>
      <c r="F103" s="169"/>
      <c r="G103" s="234"/>
      <c r="H103" s="149"/>
      <c r="J103" s="235"/>
    </row>
    <row r="104" spans="1:10" ht="18.75" x14ac:dyDescent="0.3">
      <c r="C104" s="199" t="s">
        <v>84</v>
      </c>
      <c r="D104" s="236">
        <f>STDEV(E91:E94,G91:G94)/D103</f>
        <v>6.1350075969387541E-3</v>
      </c>
      <c r="F104" s="169"/>
      <c r="G104" s="226"/>
      <c r="H104" s="149"/>
      <c r="J104" s="235"/>
    </row>
    <row r="105" spans="1:10" ht="19.5" customHeight="1" x14ac:dyDescent="0.3">
      <c r="C105" s="201" t="s">
        <v>20</v>
      </c>
      <c r="D105" s="237">
        <f>COUNT(E91:E94,G91:G94)</f>
        <v>6</v>
      </c>
      <c r="F105" s="169"/>
      <c r="G105" s="226"/>
      <c r="H105" s="149"/>
      <c r="J105" s="235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118</v>
      </c>
      <c r="B107" s="122">
        <v>900</v>
      </c>
      <c r="C107" s="238" t="s">
        <v>119</v>
      </c>
      <c r="D107" s="239" t="s">
        <v>63</v>
      </c>
      <c r="E107" s="240" t="s">
        <v>120</v>
      </c>
      <c r="F107" s="241" t="s">
        <v>121</v>
      </c>
    </row>
    <row r="108" spans="1:10" ht="26.25" customHeight="1" x14ac:dyDescent="0.4">
      <c r="A108" s="123" t="s">
        <v>122</v>
      </c>
      <c r="B108" s="124">
        <v>1</v>
      </c>
      <c r="C108" s="242">
        <v>1</v>
      </c>
      <c r="D108" s="243">
        <v>2568960</v>
      </c>
      <c r="E108" s="274">
        <f t="shared" ref="E108:E113" si="1">IF(ISBLANK(D108),"-",D108/$D$103*$D$100*$B$116)</f>
        <v>58.795147705357444</v>
      </c>
      <c r="F108" s="244">
        <f t="shared" ref="F108:F113" si="2">IF(ISBLANK(D108), "-", E108/$B$56)</f>
        <v>0.97991912842262408</v>
      </c>
    </row>
    <row r="109" spans="1:10" ht="26.25" customHeight="1" x14ac:dyDescent="0.4">
      <c r="A109" s="123" t="s">
        <v>95</v>
      </c>
      <c r="B109" s="124">
        <v>1</v>
      </c>
      <c r="C109" s="242">
        <v>2</v>
      </c>
      <c r="D109" s="243">
        <v>2583467</v>
      </c>
      <c r="E109" s="275">
        <f t="shared" si="1"/>
        <v>59.127165801303512</v>
      </c>
      <c r="F109" s="245">
        <f t="shared" si="2"/>
        <v>0.98545276335505849</v>
      </c>
    </row>
    <row r="110" spans="1:10" ht="26.25" customHeight="1" x14ac:dyDescent="0.4">
      <c r="A110" s="123" t="s">
        <v>96</v>
      </c>
      <c r="B110" s="124">
        <v>1</v>
      </c>
      <c r="C110" s="242">
        <v>3</v>
      </c>
      <c r="D110" s="243">
        <v>2582913</v>
      </c>
      <c r="E110" s="275">
        <f t="shared" si="1"/>
        <v>59.114486541280478</v>
      </c>
      <c r="F110" s="245">
        <f t="shared" si="2"/>
        <v>0.98524144235467459</v>
      </c>
    </row>
    <row r="111" spans="1:10" ht="26.25" customHeight="1" x14ac:dyDescent="0.4">
      <c r="A111" s="123" t="s">
        <v>97</v>
      </c>
      <c r="B111" s="124">
        <v>1</v>
      </c>
      <c r="C111" s="242">
        <v>4</v>
      </c>
      <c r="D111" s="243">
        <v>2584804</v>
      </c>
      <c r="E111" s="275">
        <f t="shared" si="1"/>
        <v>59.15776538731577</v>
      </c>
      <c r="F111" s="245">
        <f t="shared" si="2"/>
        <v>0.98596275645526288</v>
      </c>
    </row>
    <row r="112" spans="1:10" ht="26.25" customHeight="1" x14ac:dyDescent="0.4">
      <c r="A112" s="123" t="s">
        <v>98</v>
      </c>
      <c r="B112" s="124">
        <v>1</v>
      </c>
      <c r="C112" s="242">
        <v>5</v>
      </c>
      <c r="D112" s="243">
        <v>2574934</v>
      </c>
      <c r="E112" s="275">
        <f t="shared" si="1"/>
        <v>58.931873155497506</v>
      </c>
      <c r="F112" s="245">
        <f t="shared" si="2"/>
        <v>0.98219788592495838</v>
      </c>
    </row>
    <row r="113" spans="1:10" ht="26.25" customHeight="1" x14ac:dyDescent="0.4">
      <c r="A113" s="123" t="s">
        <v>100</v>
      </c>
      <c r="B113" s="124">
        <v>1</v>
      </c>
      <c r="C113" s="246">
        <v>6</v>
      </c>
      <c r="D113" s="247">
        <v>2575565</v>
      </c>
      <c r="E113" s="276">
        <f t="shared" si="1"/>
        <v>58.946314695343226</v>
      </c>
      <c r="F113" s="248">
        <f t="shared" si="2"/>
        <v>0.98243857825572045</v>
      </c>
    </row>
    <row r="114" spans="1:10" ht="26.25" customHeight="1" x14ac:dyDescent="0.4">
      <c r="A114" s="123" t="s">
        <v>101</v>
      </c>
      <c r="B114" s="124">
        <v>1</v>
      </c>
      <c r="C114" s="242"/>
      <c r="D114" s="196"/>
      <c r="E114" s="98"/>
      <c r="F114" s="249"/>
    </row>
    <row r="115" spans="1:10" ht="26.25" customHeight="1" x14ac:dyDescent="0.4">
      <c r="A115" s="123" t="s">
        <v>102</v>
      </c>
      <c r="B115" s="124">
        <v>1</v>
      </c>
      <c r="C115" s="242"/>
      <c r="D115" s="250" t="s">
        <v>71</v>
      </c>
      <c r="E115" s="278">
        <f>AVERAGE(E108:E113)</f>
        <v>59.012125547682992</v>
      </c>
      <c r="F115" s="251">
        <f>AVERAGE(F108:F113)</f>
        <v>0.98353542579471653</v>
      </c>
    </row>
    <row r="116" spans="1:10" ht="27" customHeight="1" x14ac:dyDescent="0.4">
      <c r="A116" s="123" t="s">
        <v>103</v>
      </c>
      <c r="B116" s="155">
        <f>(B115/B114)*(B113/B112)*(B111/B110)*(B109/B108)*B107</f>
        <v>900</v>
      </c>
      <c r="C116" s="252"/>
      <c r="D116" s="215" t="s">
        <v>84</v>
      </c>
      <c r="E116" s="253">
        <f>STDEV(E108:E113)/E115</f>
        <v>2.4294901768167642E-3</v>
      </c>
      <c r="F116" s="253">
        <f>STDEV(F108:F113)/F115</f>
        <v>2.4294901768167603E-3</v>
      </c>
      <c r="I116" s="98"/>
    </row>
    <row r="117" spans="1:10" ht="27" customHeight="1" x14ac:dyDescent="0.4">
      <c r="A117" s="674" t="s">
        <v>78</v>
      </c>
      <c r="B117" s="675"/>
      <c r="C117" s="254"/>
      <c r="D117" s="255" t="s">
        <v>20</v>
      </c>
      <c r="E117" s="256">
        <f>COUNT(E108:E113)</f>
        <v>6</v>
      </c>
      <c r="F117" s="256">
        <f>COUNT(F108:F113)</f>
        <v>6</v>
      </c>
      <c r="I117" s="98"/>
      <c r="J117" s="235"/>
    </row>
    <row r="118" spans="1:10" ht="19.5" customHeight="1" x14ac:dyDescent="0.3">
      <c r="A118" s="676"/>
      <c r="B118" s="677"/>
      <c r="C118" s="98"/>
      <c r="D118" s="98"/>
      <c r="E118" s="98"/>
      <c r="F118" s="196"/>
      <c r="G118" s="98"/>
      <c r="H118" s="98"/>
      <c r="I118" s="98"/>
    </row>
    <row r="119" spans="1:10" ht="18.75" x14ac:dyDescent="0.3">
      <c r="A119" s="265"/>
      <c r="B119" s="119"/>
      <c r="C119" s="98"/>
      <c r="D119" s="98"/>
      <c r="E119" s="98"/>
      <c r="F119" s="196"/>
      <c r="G119" s="98"/>
      <c r="H119" s="98"/>
      <c r="I119" s="98"/>
    </row>
    <row r="120" spans="1:10" ht="26.25" customHeight="1" x14ac:dyDescent="0.4">
      <c r="A120" s="107" t="s">
        <v>106</v>
      </c>
      <c r="B120" s="203" t="s">
        <v>123</v>
      </c>
      <c r="C120" s="686" t="str">
        <f>B20</f>
        <v xml:space="preserve">Rifampicin, Isoniazid, Pyrazinamide 
</v>
      </c>
      <c r="D120" s="686"/>
      <c r="E120" s="204" t="s">
        <v>124</v>
      </c>
      <c r="F120" s="204"/>
      <c r="G120" s="205">
        <f>F115</f>
        <v>0.98353542579471653</v>
      </c>
      <c r="H120" s="98"/>
      <c r="I120" s="98"/>
    </row>
    <row r="121" spans="1:10" ht="19.5" customHeight="1" x14ac:dyDescent="0.3">
      <c r="A121" s="257"/>
      <c r="B121" s="257"/>
      <c r="C121" s="258"/>
      <c r="D121" s="258"/>
      <c r="E121" s="258"/>
      <c r="F121" s="258"/>
      <c r="G121" s="258"/>
      <c r="H121" s="258"/>
    </row>
    <row r="122" spans="1:10" ht="18.75" x14ac:dyDescent="0.3">
      <c r="B122" s="687" t="s">
        <v>26</v>
      </c>
      <c r="C122" s="687"/>
      <c r="E122" s="210" t="s">
        <v>27</v>
      </c>
      <c r="F122" s="259"/>
      <c r="G122" s="687" t="s">
        <v>28</v>
      </c>
      <c r="H122" s="687"/>
    </row>
    <row r="123" spans="1:10" ht="69.95" customHeight="1" x14ac:dyDescent="0.3">
      <c r="A123" s="260" t="s">
        <v>29</v>
      </c>
      <c r="B123" s="261"/>
      <c r="C123" s="261"/>
      <c r="E123" s="261"/>
      <c r="F123" s="98"/>
      <c r="G123" s="262"/>
      <c r="H123" s="262"/>
    </row>
    <row r="124" spans="1:10" ht="69.95" customHeight="1" x14ac:dyDescent="0.3">
      <c r="A124" s="260" t="s">
        <v>30</v>
      </c>
      <c r="B124" s="263"/>
      <c r="C124" s="263"/>
      <c r="E124" s="263"/>
      <c r="F124" s="98"/>
      <c r="G124" s="264"/>
      <c r="H124" s="264"/>
    </row>
    <row r="125" spans="1:10" ht="18.75" x14ac:dyDescent="0.3">
      <c r="A125" s="195"/>
      <c r="B125" s="195"/>
      <c r="C125" s="196"/>
      <c r="D125" s="196"/>
      <c r="E125" s="196"/>
      <c r="F125" s="200"/>
      <c r="G125" s="196"/>
      <c r="H125" s="196"/>
      <c r="I125" s="98"/>
    </row>
    <row r="126" spans="1:10" ht="18.75" x14ac:dyDescent="0.3">
      <c r="A126" s="195"/>
      <c r="B126" s="195"/>
      <c r="C126" s="196"/>
      <c r="D126" s="196"/>
      <c r="E126" s="196"/>
      <c r="F126" s="200"/>
      <c r="G126" s="196"/>
      <c r="H126" s="196"/>
      <c r="I126" s="98"/>
    </row>
    <row r="127" spans="1:10" ht="18.75" x14ac:dyDescent="0.3">
      <c r="A127" s="195"/>
      <c r="B127" s="195"/>
      <c r="C127" s="196"/>
      <c r="D127" s="196"/>
      <c r="E127" s="196"/>
      <c r="F127" s="200"/>
      <c r="G127" s="196"/>
      <c r="H127" s="196"/>
      <c r="I127" s="98"/>
    </row>
    <row r="128" spans="1:10" ht="18.75" x14ac:dyDescent="0.3">
      <c r="A128" s="195"/>
      <c r="B128" s="195"/>
      <c r="C128" s="196"/>
      <c r="D128" s="196"/>
      <c r="E128" s="196"/>
      <c r="F128" s="200"/>
      <c r="G128" s="196"/>
      <c r="H128" s="196"/>
      <c r="I128" s="98"/>
    </row>
    <row r="129" spans="1:9" ht="18.75" x14ac:dyDescent="0.3">
      <c r="A129" s="195"/>
      <c r="B129" s="195"/>
      <c r="C129" s="196"/>
      <c r="D129" s="196"/>
      <c r="E129" s="196"/>
      <c r="F129" s="200"/>
      <c r="G129" s="196"/>
      <c r="H129" s="196"/>
      <c r="I129" s="98"/>
    </row>
    <row r="130" spans="1:9" ht="18.75" x14ac:dyDescent="0.3">
      <c r="A130" s="195"/>
      <c r="B130" s="195"/>
      <c r="C130" s="196"/>
      <c r="D130" s="196"/>
      <c r="E130" s="196"/>
      <c r="F130" s="200"/>
      <c r="G130" s="196"/>
      <c r="H130" s="196"/>
      <c r="I130" s="98"/>
    </row>
    <row r="131" spans="1:9" ht="18.75" x14ac:dyDescent="0.3">
      <c r="A131" s="195"/>
      <c r="B131" s="195"/>
      <c r="C131" s="196"/>
      <c r="D131" s="196"/>
      <c r="E131" s="196"/>
      <c r="F131" s="200"/>
      <c r="G131" s="196"/>
      <c r="H131" s="196"/>
      <c r="I131" s="98"/>
    </row>
    <row r="132" spans="1:9" ht="18.75" x14ac:dyDescent="0.3">
      <c r="A132" s="195"/>
      <c r="B132" s="195"/>
      <c r="C132" s="196"/>
      <c r="D132" s="196"/>
      <c r="E132" s="196"/>
      <c r="F132" s="200"/>
      <c r="G132" s="196"/>
      <c r="H132" s="196"/>
      <c r="I132" s="98"/>
    </row>
    <row r="133" spans="1:9" ht="18.75" x14ac:dyDescent="0.3">
      <c r="A133" s="195"/>
      <c r="B133" s="195"/>
      <c r="C133" s="196"/>
      <c r="D133" s="196"/>
      <c r="E133" s="196"/>
      <c r="F133" s="200"/>
      <c r="G133" s="196"/>
      <c r="H133" s="196"/>
      <c r="I133" s="9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SST ISONIAZID</vt:lpstr>
      <vt:lpstr>SST PYRAZINAMIDE</vt:lpstr>
      <vt:lpstr>SST RIFAMPICIN</vt:lpstr>
      <vt:lpstr>Uniformity</vt:lpstr>
      <vt:lpstr>Isoniazid</vt:lpstr>
      <vt:lpstr>Pyrazinamide</vt:lpstr>
      <vt:lpstr>Rifampin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dcterms:created xsi:type="dcterms:W3CDTF">2005-07-05T10:19:27Z</dcterms:created>
  <dcterms:modified xsi:type="dcterms:W3CDTF">2016-06-21T13:54:31Z</dcterms:modified>
  <cp:category/>
</cp:coreProperties>
</file>