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6"/>
  </bookViews>
  <sheets>
    <sheet name="SST ISONIAZID" sheetId="6" r:id="rId1"/>
    <sheet name="SST PYRAZINAMIDE" sheetId="7" r:id="rId2"/>
    <sheet name="SST RIFAMPICIN" sheetId="8" r:id="rId3"/>
    <sheet name="Uniformity" sheetId="2" r:id="rId4"/>
    <sheet name="Isoniazid" sheetId="9" r:id="rId5"/>
    <sheet name="Pyrazinamide" sheetId="10" r:id="rId6"/>
    <sheet name="Rifampin" sheetId="11" r:id="rId7"/>
  </sheets>
  <definedNames>
    <definedName name="_xlnm.Print_Area" localSheetId="3">Uniformity!$A$1:$F$54</definedName>
  </definedNames>
  <calcPr calcId="144525"/>
</workbook>
</file>

<file path=xl/calcChain.xml><?xml version="1.0" encoding="utf-8"?>
<calcChain xmlns="http://schemas.openxmlformats.org/spreadsheetml/2006/main">
  <c r="B57" i="11" l="1"/>
  <c r="B57" i="10"/>
  <c r="B57" i="9"/>
  <c r="C120" i="11" l="1"/>
  <c r="B116" i="11"/>
  <c r="D101" i="11"/>
  <c r="D100" i="11"/>
  <c r="B98" i="11"/>
  <c r="F97" i="11"/>
  <c r="D97" i="11"/>
  <c r="D98" i="11" s="1"/>
  <c r="F95" i="11"/>
  <c r="D95" i="11"/>
  <c r="G94" i="11"/>
  <c r="E94" i="11"/>
  <c r="I92" i="11"/>
  <c r="B87" i="11"/>
  <c r="B81" i="11"/>
  <c r="B83" i="11" s="1"/>
  <c r="F98" i="11" s="1"/>
  <c r="B80" i="11"/>
  <c r="B79" i="11"/>
  <c r="C76" i="11"/>
  <c r="B68" i="11"/>
  <c r="B69" i="11"/>
  <c r="C56" i="11"/>
  <c r="B55" i="11"/>
  <c r="B45" i="11"/>
  <c r="D48" i="11" s="1"/>
  <c r="F42" i="11"/>
  <c r="I39" i="11" s="1"/>
  <c r="D42" i="11"/>
  <c r="G41" i="11"/>
  <c r="E41" i="11"/>
  <c r="B34" i="11"/>
  <c r="F44" i="11" s="1"/>
  <c r="F45" i="11" s="1"/>
  <c r="F46" i="11" s="1"/>
  <c r="B30" i="11"/>
  <c r="C120" i="10"/>
  <c r="B116" i="10"/>
  <c r="D100" i="10"/>
  <c r="D101" i="10" s="1"/>
  <c r="B98" i="10"/>
  <c r="F97" i="10"/>
  <c r="D97" i="10"/>
  <c r="F95" i="10"/>
  <c r="D95" i="10"/>
  <c r="G94" i="10"/>
  <c r="E94" i="10"/>
  <c r="I92" i="10"/>
  <c r="B87" i="10"/>
  <c r="B81" i="10"/>
  <c r="B83" i="10" s="1"/>
  <c r="B80" i="10"/>
  <c r="B79" i="10"/>
  <c r="C76" i="10"/>
  <c r="B68" i="10"/>
  <c r="B69" i="10"/>
  <c r="C56" i="10"/>
  <c r="B55" i="10"/>
  <c r="B45" i="10"/>
  <c r="D48" i="10" s="1"/>
  <c r="F42" i="10"/>
  <c r="I39" i="10" s="1"/>
  <c r="D42" i="10"/>
  <c r="G41" i="10"/>
  <c r="E41" i="10"/>
  <c r="B34" i="10"/>
  <c r="F44" i="10" s="1"/>
  <c r="F45" i="10" s="1"/>
  <c r="F46" i="10" s="1"/>
  <c r="B30" i="10"/>
  <c r="C120" i="9"/>
  <c r="B116" i="9"/>
  <c r="D100" i="9"/>
  <c r="D101" i="9" s="1"/>
  <c r="B98" i="9"/>
  <c r="F97" i="9"/>
  <c r="D97" i="9"/>
  <c r="F95" i="9"/>
  <c r="D95" i="9"/>
  <c r="G94" i="9"/>
  <c r="E94" i="9"/>
  <c r="I92" i="9"/>
  <c r="B87" i="9"/>
  <c r="B81" i="9"/>
  <c r="B83" i="9" s="1"/>
  <c r="B80" i="9"/>
  <c r="B79" i="9"/>
  <c r="C76" i="9"/>
  <c r="B68" i="9"/>
  <c r="B69" i="9"/>
  <c r="C56" i="9"/>
  <c r="B55" i="9"/>
  <c r="B45" i="9"/>
  <c r="D48" i="9" s="1"/>
  <c r="F42" i="9"/>
  <c r="I39" i="9" s="1"/>
  <c r="D42" i="9"/>
  <c r="G41" i="9"/>
  <c r="E41" i="9"/>
  <c r="B34" i="9"/>
  <c r="F44" i="9" s="1"/>
  <c r="F45" i="9" s="1"/>
  <c r="F46" i="9" s="1"/>
  <c r="B30" i="9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E91" i="11" l="1"/>
  <c r="D99" i="11"/>
  <c r="E93" i="11"/>
  <c r="E92" i="11"/>
  <c r="G40" i="11"/>
  <c r="D49" i="11"/>
  <c r="G38" i="11"/>
  <c r="G39" i="11"/>
  <c r="G91" i="11"/>
  <c r="F99" i="11"/>
  <c r="D44" i="11"/>
  <c r="D45" i="11" s="1"/>
  <c r="D46" i="11" s="1"/>
  <c r="G93" i="11"/>
  <c r="D102" i="11"/>
  <c r="G92" i="11"/>
  <c r="E93" i="10"/>
  <c r="E91" i="10"/>
  <c r="D102" i="10"/>
  <c r="E92" i="10"/>
  <c r="D49" i="10"/>
  <c r="G39" i="10"/>
  <c r="G40" i="10"/>
  <c r="G38" i="10"/>
  <c r="G42" i="10" s="1"/>
  <c r="F98" i="10"/>
  <c r="F99" i="10" s="1"/>
  <c r="D98" i="10"/>
  <c r="D99" i="10" s="1"/>
  <c r="D44" i="10"/>
  <c r="D45" i="10" s="1"/>
  <c r="D46" i="10" s="1"/>
  <c r="D102" i="9"/>
  <c r="E92" i="9"/>
  <c r="E91" i="9"/>
  <c r="G39" i="9"/>
  <c r="G40" i="9"/>
  <c r="D49" i="9"/>
  <c r="G38" i="9"/>
  <c r="G42" i="9" s="1"/>
  <c r="F98" i="9"/>
  <c r="F99" i="9" s="1"/>
  <c r="D98" i="9"/>
  <c r="D99" i="9" s="1"/>
  <c r="D44" i="9"/>
  <c r="D45" i="9" s="1"/>
  <c r="D46" i="9" s="1"/>
  <c r="C50" i="2"/>
  <c r="C49" i="2"/>
  <c r="C46" i="2"/>
  <c r="D49" i="2" s="1"/>
  <c r="C45" i="2"/>
  <c r="D41" i="2"/>
  <c r="D40" i="2"/>
  <c r="D39" i="2"/>
  <c r="D36" i="2"/>
  <c r="D35" i="2"/>
  <c r="D34" i="2"/>
  <c r="D32" i="2"/>
  <c r="D31" i="2"/>
  <c r="D30" i="2"/>
  <c r="D28" i="2"/>
  <c r="D27" i="2"/>
  <c r="D26" i="2"/>
  <c r="D24" i="2"/>
  <c r="C19" i="2"/>
  <c r="E38" i="11" l="1"/>
  <c r="E39" i="11"/>
  <c r="G42" i="11"/>
  <c r="D105" i="11"/>
  <c r="D103" i="11"/>
  <c r="E95" i="11"/>
  <c r="G95" i="11"/>
  <c r="E40" i="11"/>
  <c r="E40" i="10"/>
  <c r="E39" i="10"/>
  <c r="G92" i="10"/>
  <c r="D105" i="10" s="1"/>
  <c r="E95" i="10"/>
  <c r="E38" i="10"/>
  <c r="G93" i="10"/>
  <c r="G91" i="10"/>
  <c r="G91" i="9"/>
  <c r="E40" i="9"/>
  <c r="G93" i="9"/>
  <c r="E39" i="9"/>
  <c r="E95" i="9"/>
  <c r="D105" i="9"/>
  <c r="E38" i="9"/>
  <c r="E93" i="9"/>
  <c r="D103" i="9" s="1"/>
  <c r="G92" i="9"/>
  <c r="D25" i="2"/>
  <c r="D29" i="2"/>
  <c r="D33" i="2"/>
  <c r="D37" i="2"/>
  <c r="D43" i="2"/>
  <c r="D50" i="2"/>
  <c r="B49" i="2"/>
  <c r="D42" i="2"/>
  <c r="D38" i="2"/>
  <c r="E112" i="11" l="1"/>
  <c r="F112" i="11" s="1"/>
  <c r="E113" i="11"/>
  <c r="F113" i="11" s="1"/>
  <c r="E111" i="11"/>
  <c r="F111" i="11" s="1"/>
  <c r="E109" i="11"/>
  <c r="F109" i="11" s="1"/>
  <c r="D104" i="11"/>
  <c r="E110" i="11"/>
  <c r="F110" i="11" s="1"/>
  <c r="E108" i="11"/>
  <c r="D50" i="11"/>
  <c r="E42" i="11"/>
  <c r="D52" i="11"/>
  <c r="D50" i="10"/>
  <c r="E42" i="10"/>
  <c r="D52" i="10"/>
  <c r="G95" i="10"/>
  <c r="D103" i="10"/>
  <c r="E109" i="9"/>
  <c r="F109" i="9" s="1"/>
  <c r="E113" i="9"/>
  <c r="F113" i="9" s="1"/>
  <c r="E112" i="9"/>
  <c r="F112" i="9" s="1"/>
  <c r="E110" i="9"/>
  <c r="F110" i="9" s="1"/>
  <c r="E108" i="9"/>
  <c r="E111" i="9"/>
  <c r="F111" i="9" s="1"/>
  <c r="D104" i="9"/>
  <c r="G95" i="9"/>
  <c r="D50" i="9"/>
  <c r="E42" i="9"/>
  <c r="D52" i="9"/>
  <c r="E117" i="11" l="1"/>
  <c r="F108" i="11"/>
  <c r="E115" i="11"/>
  <c r="E116" i="11" s="1"/>
  <c r="G66" i="11"/>
  <c r="H66" i="11" s="1"/>
  <c r="G60" i="11"/>
  <c r="G71" i="11"/>
  <c r="H71" i="11" s="1"/>
  <c r="G64" i="11"/>
  <c r="H64" i="11" s="1"/>
  <c r="G62" i="11"/>
  <c r="H62" i="11" s="1"/>
  <c r="G70" i="11"/>
  <c r="H70" i="11" s="1"/>
  <c r="G67" i="11"/>
  <c r="H67" i="11" s="1"/>
  <c r="G65" i="11"/>
  <c r="H65" i="11" s="1"/>
  <c r="G63" i="11"/>
  <c r="H63" i="11" s="1"/>
  <c r="G61" i="11"/>
  <c r="H61" i="11" s="1"/>
  <c r="G68" i="11"/>
  <c r="H68" i="11" s="1"/>
  <c r="G69" i="11"/>
  <c r="H69" i="11" s="1"/>
  <c r="D51" i="11"/>
  <c r="E113" i="10"/>
  <c r="F113" i="10" s="1"/>
  <c r="E111" i="10"/>
  <c r="F111" i="10" s="1"/>
  <c r="E109" i="10"/>
  <c r="F109" i="10" s="1"/>
  <c r="E112" i="10"/>
  <c r="F112" i="10" s="1"/>
  <c r="E110" i="10"/>
  <c r="F110" i="10" s="1"/>
  <c r="E108" i="10"/>
  <c r="D104" i="10"/>
  <c r="G71" i="10"/>
  <c r="H71" i="10" s="1"/>
  <c r="G64" i="10"/>
  <c r="H64" i="10" s="1"/>
  <c r="G60" i="10"/>
  <c r="D51" i="10"/>
  <c r="G70" i="10"/>
  <c r="H70" i="10" s="1"/>
  <c r="G67" i="10"/>
  <c r="H67" i="10" s="1"/>
  <c r="G65" i="10"/>
  <c r="H65" i="10" s="1"/>
  <c r="G63" i="10"/>
  <c r="H63" i="10" s="1"/>
  <c r="G61" i="10"/>
  <c r="H61" i="10" s="1"/>
  <c r="G68" i="10"/>
  <c r="H68" i="10" s="1"/>
  <c r="G69" i="10"/>
  <c r="H69" i="10" s="1"/>
  <c r="G66" i="10"/>
  <c r="H66" i="10" s="1"/>
  <c r="G62" i="10"/>
  <c r="H62" i="10" s="1"/>
  <c r="G69" i="9"/>
  <c r="H69" i="9" s="1"/>
  <c r="D51" i="9"/>
  <c r="G70" i="9"/>
  <c r="H70" i="9" s="1"/>
  <c r="G67" i="9"/>
  <c r="H67" i="9" s="1"/>
  <c r="G65" i="9"/>
  <c r="H65" i="9" s="1"/>
  <c r="G63" i="9"/>
  <c r="H63" i="9" s="1"/>
  <c r="G61" i="9"/>
  <c r="H61" i="9" s="1"/>
  <c r="G68" i="9"/>
  <c r="H68" i="9" s="1"/>
  <c r="G71" i="9"/>
  <c r="H71" i="9" s="1"/>
  <c r="G66" i="9"/>
  <c r="H66" i="9" s="1"/>
  <c r="G64" i="9"/>
  <c r="H64" i="9" s="1"/>
  <c r="G62" i="9"/>
  <c r="H62" i="9" s="1"/>
  <c r="G60" i="9"/>
  <c r="E117" i="9"/>
  <c r="F108" i="9"/>
  <c r="E115" i="9"/>
  <c r="E116" i="9" s="1"/>
  <c r="F117" i="11" l="1"/>
  <c r="F115" i="11"/>
  <c r="G74" i="11"/>
  <c r="G72" i="11"/>
  <c r="G73" i="11" s="1"/>
  <c r="H60" i="11"/>
  <c r="E117" i="10"/>
  <c r="F108" i="10"/>
  <c r="E115" i="10"/>
  <c r="E116" i="10" s="1"/>
  <c r="G74" i="10"/>
  <c r="G72" i="10"/>
  <c r="G73" i="10" s="1"/>
  <c r="H60" i="10"/>
  <c r="F117" i="9"/>
  <c r="F115" i="9"/>
  <c r="G74" i="9"/>
  <c r="G72" i="9"/>
  <c r="G73" i="9" s="1"/>
  <c r="H60" i="9"/>
  <c r="G120" i="11" l="1"/>
  <c r="F116" i="11"/>
  <c r="H74" i="11"/>
  <c r="H72" i="11"/>
  <c r="H74" i="10"/>
  <c r="H72" i="10"/>
  <c r="F117" i="10"/>
  <c r="F115" i="10"/>
  <c r="G120" i="9"/>
  <c r="F116" i="9"/>
  <c r="H74" i="9"/>
  <c r="H72" i="9"/>
  <c r="G76" i="11" l="1"/>
  <c r="H73" i="11"/>
  <c r="G76" i="10"/>
  <c r="H73" i="10"/>
  <c r="G120" i="10"/>
  <c r="F116" i="10"/>
  <c r="G76" i="9"/>
  <c r="H73" i="9"/>
</calcChain>
</file>

<file path=xl/sharedStrings.xml><?xml version="1.0" encoding="utf-8"?>
<sst xmlns="http://schemas.openxmlformats.org/spreadsheetml/2006/main" count="644" uniqueCount="134">
  <si>
    <t>HPLC System Suitability Report</t>
  </si>
  <si>
    <t>Analysis Data</t>
  </si>
  <si>
    <t>Assay</t>
  </si>
  <si>
    <t>Sample(s)</t>
  </si>
  <si>
    <t>Reference Substance:</t>
  </si>
  <si>
    <t>RIFAMPICIN 60MG, ISONIAZID 30MG, PYRAZINAMIDE 150MG.</t>
  </si>
  <si>
    <t>% age Purity:</t>
  </si>
  <si>
    <t>NDQD2016061101</t>
  </si>
  <si>
    <t>Weight (mg):</t>
  </si>
  <si>
    <t xml:space="preserve">Rifampicin, Isoniazid, Pyrazinamide 
</t>
  </si>
  <si>
    <t>Standard Conc (mg/mL):</t>
  </si>
  <si>
    <t xml:space="preserve">Rifampicin 60mg, Isoniazid 30mg, Pyrazinamide 150mg 
</t>
  </si>
  <si>
    <t>2016-06-10 06:39:07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</si>
  <si>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</si>
  <si>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</si>
  <si>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</si>
  <si>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</si>
  <si>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</si>
  <si>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</si>
  <si>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</si>
  <si>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</si>
  <si>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</si>
  <si>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</si>
  <si>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</si>
  <si>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</si>
  <si>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</si>
  <si>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</si>
  <si>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</si>
  <si>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</si>
  <si>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</si>
  <si>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</si>
  <si>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</si>
  <si>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</si>
  <si>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</si>
  <si>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</si>
  <si>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</si>
  <si>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</si>
  <si>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</si>
  <si>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</si>
  <si>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</si>
  <si>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</si>
  <si>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</si>
  <si>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</si>
  <si>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</si>
  <si>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</si>
  <si>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</si>
  <si>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</si>
  <si>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</si>
  <si>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</si>
  <si>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</si>
  <si>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</si>
  <si>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</si>
  <si>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</si>
  <si>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</si>
  <si>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</si>
  <si>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</si>
  <si>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</si>
  <si>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</si>
  <si>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</si>
  <si>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</si>
  <si>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</si>
  <si>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</si>
  <si>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</si>
  <si>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</si>
  <si>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</si>
  <si>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</si>
  <si>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</si>
  <si>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</si>
  <si>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</si>
  <si>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</si>
  <si>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</si>
  <si>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</si>
  <si>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</si>
  <si>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</si>
  <si>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</si>
  <si>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</si>
  <si>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</si>
  <si>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</si>
  <si>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</si>
  <si>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</si>
  <si>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</si>
  <si>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</si>
  <si>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</si>
  <si>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</si>
  <si>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</si>
  <si>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</si>
  <si>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</si>
  <si>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</si>
  <si>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</si>
  <si>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</si>
  <si>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</si>
  <si>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</si>
  <si>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</si>
  <si>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</si>
  <si>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</si>
  <si>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</si>
  <si>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</si>
  <si>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</si>
  <si>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</si>
  <si>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</si>
  <si>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</si>
  <si>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</si>
  <si>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</si>
  <si>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</si>
  <si>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</si>
  <si>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</si>
  <si>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</si>
  <si>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</si>
  <si>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</si>
  <si>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</si>
  <si>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</si>
  <si>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</si>
  <si>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</si>
  <si>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</si>
  <si>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</si>
  <si>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</si>
  <si>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</si>
  <si>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</si>
  <si>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</si>
  <si>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</si>
  <si>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</si>
  <si>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</si>
  <si>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</si>
  <si>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</si>
  <si>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</si>
  <si>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PYRAZINAMIDE 150MG.</t>
  </si>
  <si>
    <t>RIFAMPICIN 60MG</t>
  </si>
  <si>
    <t>Isoniazid</t>
  </si>
  <si>
    <t>I8-2</t>
  </si>
  <si>
    <t>Pyrazinamide</t>
  </si>
  <si>
    <t>P19-1</t>
  </si>
  <si>
    <t>Rifampicin</t>
  </si>
  <si>
    <t>R5-1</t>
  </si>
  <si>
    <t xml:space="preserve"> ISONIAZID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</si>
</sst>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 wrapText="1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2" borderId="0" xfId="4" applyFont="1" applyFill="1"/>
    <xf numFmtId="0" fontId="11" fillId="2" borderId="0" xfId="4" applyFont="1" applyFill="1"/>
    <xf numFmtId="0" fontId="24" fillId="2" borderId="0" xfId="4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4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166" fontId="11" fillId="6" borderId="27" xfId="4" applyNumberFormat="1" applyFont="1" applyFill="1" applyBorder="1" applyAlignment="1">
      <alignment horizontal="center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168" fontId="14" fillId="3" borderId="0" xfId="1" applyNumberFormat="1" applyFont="1" applyFill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10" fontId="15" fillId="2" borderId="14" xfId="4" applyNumberFormat="1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 applyProtection="1">
      <alignment horizontal="center" vertical="center"/>
      <protection locked="0"/>
    </xf>
    <xf numFmtId="2" fontId="13" fillId="3" borderId="14" xfId="4" applyNumberFormat="1" applyFont="1" applyFill="1" applyBorder="1" applyAlignment="1" applyProtection="1">
      <alignment horizontal="center" vertical="center"/>
      <protection locked="0"/>
    </xf>
    <xf numFmtId="2" fontId="13" fillId="3" borderId="15" xfId="4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0" xfId="4" applyFont="1" applyFill="1" applyAlignment="1">
      <alignment horizontal="center"/>
    </xf>
    <xf numFmtId="0" fontId="19" fillId="2" borderId="10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39" sqref="C3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9" t="s">
        <v>0</v>
      </c>
      <c r="B15" s="589"/>
      <c r="C15" s="589"/>
      <c r="D15" s="589"/>
      <c r="E15" s="589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133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8">
        <v>8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0.08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7666869</v>
      </c>
      <c r="C24" s="64">
        <v>13465.5</v>
      </c>
      <c r="D24" s="65">
        <v>1.1000000000000001</v>
      </c>
      <c r="E24" s="66">
        <v>5</v>
      </c>
    </row>
    <row r="25" spans="1:5" ht="16.5" customHeight="1" x14ac:dyDescent="0.3">
      <c r="A25" s="63">
        <v>2</v>
      </c>
      <c r="B25" s="64">
        <v>7685770</v>
      </c>
      <c r="C25" s="64">
        <v>12589.1</v>
      </c>
      <c r="D25" s="65">
        <v>1.2</v>
      </c>
      <c r="E25" s="65">
        <v>4.9000000000000004</v>
      </c>
    </row>
    <row r="26" spans="1:5" ht="16.5" customHeight="1" x14ac:dyDescent="0.3">
      <c r="A26" s="63">
        <v>3</v>
      </c>
      <c r="B26" s="64">
        <v>7690429</v>
      </c>
      <c r="C26" s="64">
        <v>12803.9</v>
      </c>
      <c r="D26" s="65">
        <v>1.1000000000000001</v>
      </c>
      <c r="E26" s="65">
        <v>4.9000000000000004</v>
      </c>
    </row>
    <row r="27" spans="1:5" ht="16.5" customHeight="1" x14ac:dyDescent="0.3">
      <c r="A27" s="63">
        <v>4</v>
      </c>
      <c r="B27" s="64">
        <v>7689427</v>
      </c>
      <c r="C27" s="64">
        <v>12731.6</v>
      </c>
      <c r="D27" s="65">
        <v>1.2</v>
      </c>
      <c r="E27" s="65">
        <v>4.9000000000000004</v>
      </c>
    </row>
    <row r="28" spans="1:5" ht="16.5" customHeight="1" x14ac:dyDescent="0.3">
      <c r="A28" s="63">
        <v>5</v>
      </c>
      <c r="B28" s="64">
        <v>7689148</v>
      </c>
      <c r="C28" s="64">
        <v>12737.3</v>
      </c>
      <c r="D28" s="65">
        <v>1.2</v>
      </c>
      <c r="E28" s="65">
        <v>4.9000000000000004</v>
      </c>
    </row>
    <row r="29" spans="1:5" ht="16.5" customHeight="1" x14ac:dyDescent="0.3">
      <c r="A29" s="63">
        <v>6</v>
      </c>
      <c r="B29" s="67">
        <v>7687659</v>
      </c>
      <c r="C29" s="67">
        <v>12742</v>
      </c>
      <c r="D29" s="68">
        <v>1.2</v>
      </c>
      <c r="E29" s="68">
        <v>4.9000000000000004</v>
      </c>
    </row>
    <row r="30" spans="1:5" ht="16.5" customHeight="1" x14ac:dyDescent="0.3">
      <c r="A30" s="69" t="s">
        <v>18</v>
      </c>
      <c r="B30" s="70">
        <f>AVERAGE(B24:B29)</f>
        <v>7684883.666666667</v>
      </c>
      <c r="C30" s="71">
        <f>AVERAGE(C24:C29)</f>
        <v>12844.9</v>
      </c>
      <c r="D30" s="72">
        <f>AVERAGE(D24:D29)</f>
        <v>1.1666666666666667</v>
      </c>
      <c r="E30" s="72">
        <f>AVERAGE(E24:E29)</f>
        <v>4.916666666666667</v>
      </c>
    </row>
    <row r="31" spans="1:5" ht="16.5" customHeight="1" x14ac:dyDescent="0.3">
      <c r="A31" s="73" t="s">
        <v>19</v>
      </c>
      <c r="B31" s="74">
        <f>(STDEV(B24:B29)/B30)</f>
        <v>1.1676455647052846E-3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8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0.08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7666869</v>
      </c>
      <c r="C45" s="64">
        <v>13465.5</v>
      </c>
      <c r="D45" s="65">
        <v>1.1000000000000001</v>
      </c>
      <c r="E45" s="66">
        <v>5</v>
      </c>
    </row>
    <row r="46" spans="1:5" ht="16.5" customHeight="1" x14ac:dyDescent="0.3">
      <c r="A46" s="63">
        <v>2</v>
      </c>
      <c r="B46" s="64">
        <v>7685770</v>
      </c>
      <c r="C46" s="64">
        <v>12589.1</v>
      </c>
      <c r="D46" s="65">
        <v>1.2</v>
      </c>
      <c r="E46" s="65">
        <v>4.9000000000000004</v>
      </c>
    </row>
    <row r="47" spans="1:5" ht="16.5" customHeight="1" x14ac:dyDescent="0.3">
      <c r="A47" s="63">
        <v>3</v>
      </c>
      <c r="B47" s="64">
        <v>7690429</v>
      </c>
      <c r="C47" s="64">
        <v>12803.9</v>
      </c>
      <c r="D47" s="65">
        <v>1.1000000000000001</v>
      </c>
      <c r="E47" s="65">
        <v>4.9000000000000004</v>
      </c>
    </row>
    <row r="48" spans="1:5" ht="16.5" customHeight="1" x14ac:dyDescent="0.3">
      <c r="A48" s="63">
        <v>4</v>
      </c>
      <c r="B48" s="64">
        <v>7689427</v>
      </c>
      <c r="C48" s="64">
        <v>12731.6</v>
      </c>
      <c r="D48" s="65">
        <v>1.2</v>
      </c>
      <c r="E48" s="65">
        <v>4.9000000000000004</v>
      </c>
    </row>
    <row r="49" spans="1:7" ht="16.5" customHeight="1" x14ac:dyDescent="0.3">
      <c r="A49" s="63">
        <v>5</v>
      </c>
      <c r="B49" s="64">
        <v>7689148</v>
      </c>
      <c r="C49" s="64">
        <v>12737.3</v>
      </c>
      <c r="D49" s="65">
        <v>1.2</v>
      </c>
      <c r="E49" s="65">
        <v>4.9000000000000004</v>
      </c>
    </row>
    <row r="50" spans="1:7" ht="16.5" customHeight="1" x14ac:dyDescent="0.3">
      <c r="A50" s="63">
        <v>6</v>
      </c>
      <c r="B50" s="67">
        <v>7687659</v>
      </c>
      <c r="C50" s="67">
        <v>12742</v>
      </c>
      <c r="D50" s="68">
        <v>1.2</v>
      </c>
      <c r="E50" s="68">
        <v>4.9000000000000004</v>
      </c>
    </row>
    <row r="51" spans="1:7" ht="16.5" customHeight="1" x14ac:dyDescent="0.3">
      <c r="A51" s="69" t="s">
        <v>18</v>
      </c>
      <c r="B51" s="70">
        <f>AVERAGE(B45:B50)</f>
        <v>7684883.666666667</v>
      </c>
      <c r="C51" s="71">
        <f>AVERAGE(C45:C50)</f>
        <v>12844.9</v>
      </c>
      <c r="D51" s="72">
        <f>AVERAGE(D45:D50)</f>
        <v>1.1666666666666667</v>
      </c>
      <c r="E51" s="72">
        <f>AVERAGE(E45:E50)</f>
        <v>4.916666666666667</v>
      </c>
    </row>
    <row r="52" spans="1:7" ht="16.5" customHeight="1" x14ac:dyDescent="0.3">
      <c r="A52" s="73" t="s">
        <v>19</v>
      </c>
      <c r="B52" s="74">
        <f>(STDEV(B45:B50)/B51)</f>
        <v>1.1676455647052846E-3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90" t="s">
        <v>26</v>
      </c>
      <c r="C59" s="590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42" sqref="B4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9" t="s">
        <v>0</v>
      </c>
      <c r="B15" s="589"/>
      <c r="C15" s="589"/>
      <c r="D15" s="589"/>
      <c r="E15" s="589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125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43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0.43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21689687</v>
      </c>
      <c r="C24" s="64">
        <v>12644.9</v>
      </c>
      <c r="D24" s="65">
        <v>1.2</v>
      </c>
      <c r="E24" s="66">
        <v>5.7</v>
      </c>
    </row>
    <row r="25" spans="1:5" ht="16.5" customHeight="1" x14ac:dyDescent="0.3">
      <c r="A25" s="63">
        <v>2</v>
      </c>
      <c r="B25" s="64">
        <v>21668472</v>
      </c>
      <c r="C25" s="64">
        <v>12367.1</v>
      </c>
      <c r="D25" s="65">
        <v>1.2</v>
      </c>
      <c r="E25" s="65">
        <v>5.7</v>
      </c>
    </row>
    <row r="26" spans="1:5" ht="16.5" customHeight="1" x14ac:dyDescent="0.3">
      <c r="A26" s="63">
        <v>3</v>
      </c>
      <c r="B26" s="64">
        <v>21674990</v>
      </c>
      <c r="C26" s="64">
        <v>12242.6</v>
      </c>
      <c r="D26" s="65">
        <v>1.2</v>
      </c>
      <c r="E26" s="65">
        <v>5.7</v>
      </c>
    </row>
    <row r="27" spans="1:5" ht="16.5" customHeight="1" x14ac:dyDescent="0.3">
      <c r="A27" s="63">
        <v>4</v>
      </c>
      <c r="B27" s="64">
        <v>21674317</v>
      </c>
      <c r="C27" s="64">
        <v>12234.7</v>
      </c>
      <c r="D27" s="65">
        <v>1.2</v>
      </c>
      <c r="E27" s="65">
        <v>5.7</v>
      </c>
    </row>
    <row r="28" spans="1:5" ht="16.5" customHeight="1" x14ac:dyDescent="0.3">
      <c r="A28" s="63">
        <v>5</v>
      </c>
      <c r="B28" s="64">
        <v>21665103</v>
      </c>
      <c r="C28" s="64">
        <v>12232.5</v>
      </c>
      <c r="D28" s="65">
        <v>1.2</v>
      </c>
      <c r="E28" s="65">
        <v>5.7</v>
      </c>
    </row>
    <row r="29" spans="1:5" ht="16.5" customHeight="1" x14ac:dyDescent="0.3">
      <c r="A29" s="63">
        <v>6</v>
      </c>
      <c r="B29" s="67">
        <v>21653799</v>
      </c>
      <c r="C29" s="67">
        <v>12236.6</v>
      </c>
      <c r="D29" s="68">
        <v>1.2</v>
      </c>
      <c r="E29" s="68">
        <v>5.7</v>
      </c>
    </row>
    <row r="30" spans="1:5" ht="16.5" customHeight="1" x14ac:dyDescent="0.3">
      <c r="A30" s="69" t="s">
        <v>18</v>
      </c>
      <c r="B30" s="70">
        <f>AVERAGE(B24:B29)</f>
        <v>21671061.333333332</v>
      </c>
      <c r="C30" s="71">
        <f>AVERAGE(C24:C29)</f>
        <v>12326.400000000001</v>
      </c>
      <c r="D30" s="72">
        <f>AVERAGE(D24:D29)</f>
        <v>1.2</v>
      </c>
      <c r="E30" s="72">
        <f>AVERAGE(E24:E29)</f>
        <v>5.7</v>
      </c>
    </row>
    <row r="31" spans="1:5" ht="16.5" customHeight="1" x14ac:dyDescent="0.3">
      <c r="A31" s="73" t="s">
        <v>19</v>
      </c>
      <c r="B31" s="74">
        <f>(STDEV(B24:B29)/B30)</f>
        <v>5.5109106063154533E-4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125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43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0.43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21689687</v>
      </c>
      <c r="C45" s="64">
        <v>12644.9</v>
      </c>
      <c r="D45" s="65">
        <v>1.2</v>
      </c>
      <c r="E45" s="66">
        <v>5.7</v>
      </c>
    </row>
    <row r="46" spans="1:5" ht="16.5" customHeight="1" x14ac:dyDescent="0.3">
      <c r="A46" s="63">
        <v>2</v>
      </c>
      <c r="B46" s="64">
        <v>21668472</v>
      </c>
      <c r="C46" s="64">
        <v>12367.1</v>
      </c>
      <c r="D46" s="65">
        <v>1.2</v>
      </c>
      <c r="E46" s="65">
        <v>5.7</v>
      </c>
    </row>
    <row r="47" spans="1:5" ht="16.5" customHeight="1" x14ac:dyDescent="0.3">
      <c r="A47" s="63">
        <v>3</v>
      </c>
      <c r="B47" s="64">
        <v>21674990</v>
      </c>
      <c r="C47" s="64">
        <v>12242.6</v>
      </c>
      <c r="D47" s="65">
        <v>1.2</v>
      </c>
      <c r="E47" s="65">
        <v>5.7</v>
      </c>
    </row>
    <row r="48" spans="1:5" ht="16.5" customHeight="1" x14ac:dyDescent="0.3">
      <c r="A48" s="63">
        <v>4</v>
      </c>
      <c r="B48" s="64">
        <v>21674317</v>
      </c>
      <c r="C48" s="64">
        <v>12234.7</v>
      </c>
      <c r="D48" s="65">
        <v>1.2</v>
      </c>
      <c r="E48" s="65">
        <v>5.7</v>
      </c>
    </row>
    <row r="49" spans="1:7" ht="16.5" customHeight="1" x14ac:dyDescent="0.3">
      <c r="A49" s="63">
        <v>5</v>
      </c>
      <c r="B49" s="64">
        <v>21665103</v>
      </c>
      <c r="C49" s="64">
        <v>12232.5</v>
      </c>
      <c r="D49" s="65">
        <v>1.2</v>
      </c>
      <c r="E49" s="65">
        <v>5.7</v>
      </c>
    </row>
    <row r="50" spans="1:7" ht="16.5" customHeight="1" x14ac:dyDescent="0.3">
      <c r="A50" s="63">
        <v>6</v>
      </c>
      <c r="B50" s="67">
        <v>21653799</v>
      </c>
      <c r="C50" s="67">
        <v>12236.6</v>
      </c>
      <c r="D50" s="68">
        <v>1.2</v>
      </c>
      <c r="E50" s="68">
        <v>5.7</v>
      </c>
    </row>
    <row r="51" spans="1:7" ht="16.5" customHeight="1" x14ac:dyDescent="0.3">
      <c r="A51" s="69" t="s">
        <v>18</v>
      </c>
      <c r="B51" s="70">
        <f>AVERAGE(B45:B50)</f>
        <v>21671061.333333332</v>
      </c>
      <c r="C51" s="71">
        <f>AVERAGE(C45:C50)</f>
        <v>12326.400000000001</v>
      </c>
      <c r="D51" s="72">
        <f>AVERAGE(D45:D50)</f>
        <v>1.2</v>
      </c>
      <c r="E51" s="72">
        <f>AVERAGE(E45:E50)</f>
        <v>5.7</v>
      </c>
    </row>
    <row r="52" spans="1:7" ht="16.5" customHeight="1" x14ac:dyDescent="0.3">
      <c r="A52" s="73" t="s">
        <v>19</v>
      </c>
      <c r="B52" s="74">
        <f>(STDEV(B45:B50)/B51)</f>
        <v>5.5109106063154533E-4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90" t="s">
        <v>26</v>
      </c>
      <c r="C59" s="590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C40" sqref="C4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9" t="s">
        <v>0</v>
      </c>
      <c r="B15" s="589"/>
      <c r="C15" s="589"/>
      <c r="D15" s="589"/>
      <c r="E15" s="589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126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99.6</v>
      </c>
      <c r="C19" s="55"/>
      <c r="D19" s="55"/>
      <c r="E19" s="55"/>
    </row>
    <row r="20" spans="1:5" ht="16.5" customHeight="1" x14ac:dyDescent="0.3">
      <c r="A20" s="53" t="s">
        <v>8</v>
      </c>
      <c r="B20" s="57">
        <v>16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0.16</v>
      </c>
      <c r="C21" s="55"/>
      <c r="D21" s="55"/>
      <c r="E21" s="55"/>
    </row>
    <row r="22" spans="1:5" ht="15.75" customHeight="1" x14ac:dyDescent="0.25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7644767</v>
      </c>
      <c r="C24" s="64">
        <v>66024</v>
      </c>
      <c r="D24" s="65">
        <v>1.1000000000000001</v>
      </c>
      <c r="E24" s="66">
        <v>9.3000000000000007</v>
      </c>
    </row>
    <row r="25" spans="1:5" ht="16.5" customHeight="1" x14ac:dyDescent="0.3">
      <c r="A25" s="63">
        <v>2</v>
      </c>
      <c r="B25" s="64">
        <v>7589467</v>
      </c>
      <c r="C25" s="64">
        <v>66129.2</v>
      </c>
      <c r="D25" s="65">
        <v>1.1000000000000001</v>
      </c>
      <c r="E25" s="65">
        <v>9.3000000000000007</v>
      </c>
    </row>
    <row r="26" spans="1:5" ht="16.5" customHeight="1" x14ac:dyDescent="0.3">
      <c r="A26" s="63">
        <v>3</v>
      </c>
      <c r="B26" s="64">
        <v>7549143</v>
      </c>
      <c r="C26" s="64">
        <v>66240.399999999994</v>
      </c>
      <c r="D26" s="65">
        <v>1.1000000000000001</v>
      </c>
      <c r="E26" s="65">
        <v>9.3000000000000007</v>
      </c>
    </row>
    <row r="27" spans="1:5" ht="16.5" customHeight="1" x14ac:dyDescent="0.3">
      <c r="A27" s="63">
        <v>4</v>
      </c>
      <c r="B27" s="64">
        <v>7530658</v>
      </c>
      <c r="C27" s="64">
        <v>66473.899999999994</v>
      </c>
      <c r="D27" s="65">
        <v>1.1000000000000001</v>
      </c>
      <c r="E27" s="65">
        <v>9.3000000000000007</v>
      </c>
    </row>
    <row r="28" spans="1:5" ht="16.5" customHeight="1" x14ac:dyDescent="0.3">
      <c r="A28" s="63">
        <v>5</v>
      </c>
      <c r="B28" s="64">
        <v>7502031</v>
      </c>
      <c r="C28" s="64">
        <v>66455.399999999994</v>
      </c>
      <c r="D28" s="65">
        <v>1.1000000000000001</v>
      </c>
      <c r="E28" s="65">
        <v>9.3000000000000007</v>
      </c>
    </row>
    <row r="29" spans="1:5" ht="16.5" customHeight="1" x14ac:dyDescent="0.3">
      <c r="A29" s="63">
        <v>6</v>
      </c>
      <c r="B29" s="67">
        <v>7472903</v>
      </c>
      <c r="C29" s="67">
        <v>66769.52</v>
      </c>
      <c r="D29" s="68">
        <v>1.1000000000000001</v>
      </c>
      <c r="E29" s="68">
        <v>9.3000000000000007</v>
      </c>
    </row>
    <row r="30" spans="1:5" ht="16.5" customHeight="1" x14ac:dyDescent="0.3">
      <c r="A30" s="69" t="s">
        <v>18</v>
      </c>
      <c r="B30" s="70">
        <f>AVERAGE(B24:B29)</f>
        <v>7548161.5</v>
      </c>
      <c r="C30" s="71">
        <f>AVERAGE(C24:C29)</f>
        <v>66348.736666666679</v>
      </c>
      <c r="D30" s="72">
        <f>AVERAGE(D24:D29)</f>
        <v>1.0999999999999999</v>
      </c>
      <c r="E30" s="72">
        <f>AVERAGE(E24:E29)</f>
        <v>9.2999999999999989</v>
      </c>
    </row>
    <row r="31" spans="1:5" ht="16.5" customHeight="1" x14ac:dyDescent="0.3">
      <c r="A31" s="73" t="s">
        <v>19</v>
      </c>
      <c r="B31" s="74">
        <f>(STDEV(B24:B29)/B30)</f>
        <v>8.1963731574697524E-3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23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126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99.6</v>
      </c>
      <c r="C40" s="55"/>
      <c r="D40" s="55"/>
      <c r="E40" s="55"/>
    </row>
    <row r="41" spans="1:5" ht="16.5" customHeight="1" x14ac:dyDescent="0.3">
      <c r="A41" s="53" t="s">
        <v>8</v>
      </c>
      <c r="B41" s="57">
        <v>16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7644767</v>
      </c>
      <c r="C45" s="64">
        <v>66024</v>
      </c>
      <c r="D45" s="65">
        <v>1.1000000000000001</v>
      </c>
      <c r="E45" s="66">
        <v>9.3000000000000007</v>
      </c>
    </row>
    <row r="46" spans="1:5" ht="16.5" customHeight="1" x14ac:dyDescent="0.3">
      <c r="A46" s="63">
        <v>2</v>
      </c>
      <c r="B46" s="64">
        <v>7589467</v>
      </c>
      <c r="C46" s="64">
        <v>66129.2</v>
      </c>
      <c r="D46" s="65">
        <v>1.1000000000000001</v>
      </c>
      <c r="E46" s="65">
        <v>9.3000000000000007</v>
      </c>
    </row>
    <row r="47" spans="1:5" ht="16.5" customHeight="1" x14ac:dyDescent="0.3">
      <c r="A47" s="63">
        <v>3</v>
      </c>
      <c r="B47" s="64">
        <v>7549143</v>
      </c>
      <c r="C47" s="64">
        <v>66240.399999999994</v>
      </c>
      <c r="D47" s="65">
        <v>1.1000000000000001</v>
      </c>
      <c r="E47" s="65">
        <v>9.3000000000000007</v>
      </c>
    </row>
    <row r="48" spans="1:5" ht="16.5" customHeight="1" x14ac:dyDescent="0.3">
      <c r="A48" s="63">
        <v>4</v>
      </c>
      <c r="B48" s="64">
        <v>7530658</v>
      </c>
      <c r="C48" s="64">
        <v>66473.899999999994</v>
      </c>
      <c r="D48" s="65">
        <v>1.1000000000000001</v>
      </c>
      <c r="E48" s="65">
        <v>9.3000000000000007</v>
      </c>
    </row>
    <row r="49" spans="1:7" ht="16.5" customHeight="1" x14ac:dyDescent="0.3">
      <c r="A49" s="63">
        <v>5</v>
      </c>
      <c r="B49" s="64">
        <v>7502031</v>
      </c>
      <c r="C49" s="64">
        <v>66455.399999999994</v>
      </c>
      <c r="D49" s="65">
        <v>1.1000000000000001</v>
      </c>
      <c r="E49" s="65">
        <v>9.3000000000000007</v>
      </c>
    </row>
    <row r="50" spans="1:7" ht="16.5" customHeight="1" x14ac:dyDescent="0.3">
      <c r="A50" s="63">
        <v>6</v>
      </c>
      <c r="B50" s="67">
        <v>7472903</v>
      </c>
      <c r="C50" s="67">
        <v>66769.52</v>
      </c>
      <c r="D50" s="68">
        <v>1.1000000000000001</v>
      </c>
      <c r="E50" s="68">
        <v>9.3000000000000007</v>
      </c>
    </row>
    <row r="51" spans="1:7" ht="16.5" customHeight="1" x14ac:dyDescent="0.3">
      <c r="A51" s="69" t="s">
        <v>18</v>
      </c>
      <c r="B51" s="70">
        <f>AVERAGE(B45:B50)</f>
        <v>7548161.5</v>
      </c>
      <c r="C51" s="71">
        <f>AVERAGE(C45:C50)</f>
        <v>66348.736666666679</v>
      </c>
      <c r="D51" s="72">
        <f>AVERAGE(D45:D50)</f>
        <v>1.0999999999999999</v>
      </c>
      <c r="E51" s="72">
        <f>AVERAGE(E45:E50)</f>
        <v>9.2999999999999989</v>
      </c>
    </row>
    <row r="52" spans="1:7" ht="16.5" customHeight="1" x14ac:dyDescent="0.3">
      <c r="A52" s="73" t="s">
        <v>19</v>
      </c>
      <c r="B52" s="74">
        <f>(STDEV(B45:B50)/B51)</f>
        <v>8.1963731574697524E-3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">
      <c r="A58" s="84"/>
      <c r="B58" s="85"/>
      <c r="D58" s="86"/>
      <c r="F58" s="87"/>
      <c r="G58" s="87"/>
    </row>
    <row r="59" spans="1:7" ht="15" customHeight="1" x14ac:dyDescent="0.3">
      <c r="B59" s="590" t="s">
        <v>26</v>
      </c>
      <c r="C59" s="590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94" t="s">
        <v>31</v>
      </c>
      <c r="B11" s="595"/>
      <c r="C11" s="595"/>
      <c r="D11" s="595"/>
      <c r="E11" s="595"/>
      <c r="F11" s="596"/>
      <c r="G11" s="41"/>
    </row>
    <row r="12" spans="1:7" ht="16.5" customHeight="1" x14ac:dyDescent="0.3">
      <c r="A12" s="593" t="s">
        <v>32</v>
      </c>
      <c r="B12" s="593"/>
      <c r="C12" s="593"/>
      <c r="D12" s="593"/>
      <c r="E12" s="593"/>
      <c r="F12" s="593"/>
      <c r="G12" s="40"/>
    </row>
    <row r="14" spans="1:7" ht="16.5" customHeight="1" x14ac:dyDescent="0.3">
      <c r="A14" s="598" t="s">
        <v>33</v>
      </c>
      <c r="B14" s="598"/>
      <c r="C14" s="10" t="s">
        <v>5</v>
      </c>
    </row>
    <row r="15" spans="1:7" ht="16.5" customHeight="1" x14ac:dyDescent="0.3">
      <c r="A15" s="598" t="s">
        <v>34</v>
      </c>
      <c r="B15" s="598"/>
      <c r="C15" s="10" t="s">
        <v>7</v>
      </c>
    </row>
    <row r="16" spans="1:7" ht="16.5" customHeight="1" x14ac:dyDescent="0.3">
      <c r="A16" s="598" t="s">
        <v>35</v>
      </c>
      <c r="B16" s="598"/>
      <c r="C16" s="10" t="s">
        <v>9</v>
      </c>
    </row>
    <row r="17" spans="1:5" ht="16.5" customHeight="1" x14ac:dyDescent="0.3">
      <c r="A17" s="598" t="s">
        <v>36</v>
      </c>
      <c r="B17" s="598"/>
      <c r="C17" s="10" t="s">
        <v>11</v>
      </c>
    </row>
    <row r="18" spans="1:5" ht="16.5" customHeight="1" x14ac:dyDescent="0.3">
      <c r="A18" s="598" t="s">
        <v>37</v>
      </c>
      <c r="B18" s="598"/>
      <c r="C18" s="47" t="s">
        <v>12</v>
      </c>
    </row>
    <row r="19" spans="1:5" ht="16.5" customHeight="1" x14ac:dyDescent="0.3">
      <c r="A19" s="598" t="s">
        <v>38</v>
      </c>
      <c r="B19" s="59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93" t="s">
        <v>1</v>
      </c>
      <c r="B21" s="593"/>
      <c r="C21" s="9" t="s">
        <v>39</v>
      </c>
      <c r="D21" s="16"/>
    </row>
    <row r="22" spans="1:5" ht="15.75" customHeight="1" x14ac:dyDescent="0.3">
      <c r="A22" s="597"/>
      <c r="B22" s="597"/>
      <c r="C22" s="7"/>
      <c r="D22" s="597"/>
      <c r="E22" s="597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294.70999999999998</v>
      </c>
      <c r="D24" s="37">
        <f t="shared" ref="D24:D43" si="0">(C24-$C$46)/$C$46</f>
        <v>-1.4992249769188886E-3</v>
      </c>
      <c r="E24" s="3"/>
    </row>
    <row r="25" spans="1:5" ht="15.75" customHeight="1" x14ac:dyDescent="0.3">
      <c r="C25" s="45">
        <v>293.13</v>
      </c>
      <c r="D25" s="38">
        <f t="shared" si="0"/>
        <v>-6.8523898662557021E-3</v>
      </c>
      <c r="E25" s="3"/>
    </row>
    <row r="26" spans="1:5" ht="15.75" customHeight="1" x14ac:dyDescent="0.3">
      <c r="C26" s="45">
        <v>295.38</v>
      </c>
      <c r="D26" s="38">
        <f t="shared" si="0"/>
        <v>7.7078798248350795E-4</v>
      </c>
      <c r="E26" s="3"/>
    </row>
    <row r="27" spans="1:5" ht="15.75" customHeight="1" x14ac:dyDescent="0.3">
      <c r="C27" s="45">
        <v>297.56</v>
      </c>
      <c r="D27" s="38">
        <f t="shared" si="0"/>
        <v>8.1568002981508552E-3</v>
      </c>
      <c r="E27" s="3"/>
    </row>
    <row r="28" spans="1:5" ht="15.75" customHeight="1" x14ac:dyDescent="0.3">
      <c r="C28" s="45">
        <v>295.02999999999997</v>
      </c>
      <c r="D28" s="38">
        <f t="shared" si="0"/>
        <v>-4.1503968287600175E-4</v>
      </c>
      <c r="E28" s="3"/>
    </row>
    <row r="29" spans="1:5" ht="15.75" customHeight="1" x14ac:dyDescent="0.3">
      <c r="C29" s="45">
        <v>293.22000000000003</v>
      </c>
      <c r="D29" s="38">
        <f t="shared" si="0"/>
        <v>-6.5474627523060261E-3</v>
      </c>
      <c r="E29" s="3"/>
    </row>
    <row r="30" spans="1:5" ht="15.75" customHeight="1" x14ac:dyDescent="0.3">
      <c r="C30" s="45">
        <v>295.05</v>
      </c>
      <c r="D30" s="38">
        <f t="shared" si="0"/>
        <v>-3.4727810199818888E-4</v>
      </c>
      <c r="E30" s="3"/>
    </row>
    <row r="31" spans="1:5" ht="15.75" customHeight="1" x14ac:dyDescent="0.3">
      <c r="C31" s="45">
        <v>295.3</v>
      </c>
      <c r="D31" s="38">
        <f t="shared" si="0"/>
        <v>4.9974165897283447E-4</v>
      </c>
      <c r="E31" s="3"/>
    </row>
    <row r="32" spans="1:5" ht="15.75" customHeight="1" x14ac:dyDescent="0.3">
      <c r="C32" s="45">
        <v>296.54000000000002</v>
      </c>
      <c r="D32" s="38">
        <f t="shared" si="0"/>
        <v>4.7009596733891415E-3</v>
      </c>
      <c r="E32" s="3"/>
    </row>
    <row r="33" spans="1:7" ht="15.75" customHeight="1" x14ac:dyDescent="0.3">
      <c r="C33" s="45">
        <v>298.17</v>
      </c>
      <c r="D33" s="38">
        <f t="shared" si="0"/>
        <v>1.0223528514920198E-2</v>
      </c>
      <c r="E33" s="3"/>
    </row>
    <row r="34" spans="1:7" ht="15.75" customHeight="1" x14ac:dyDescent="0.3">
      <c r="C34" s="45">
        <v>295.29000000000002</v>
      </c>
      <c r="D34" s="38">
        <f t="shared" si="0"/>
        <v>4.6586086853402434E-4</v>
      </c>
      <c r="E34" s="3"/>
    </row>
    <row r="35" spans="1:7" ht="15.75" customHeight="1" x14ac:dyDescent="0.3">
      <c r="C35" s="45">
        <v>295.63</v>
      </c>
      <c r="D35" s="38">
        <f t="shared" si="0"/>
        <v>1.6178077434545314E-3</v>
      </c>
      <c r="E35" s="3"/>
    </row>
    <row r="36" spans="1:7" ht="15.75" customHeight="1" x14ac:dyDescent="0.3">
      <c r="C36" s="45">
        <v>296.08999999999997</v>
      </c>
      <c r="D36" s="38">
        <f t="shared" si="0"/>
        <v>3.176324103641145E-3</v>
      </c>
      <c r="E36" s="3"/>
    </row>
    <row r="37" spans="1:7" ht="15.75" customHeight="1" x14ac:dyDescent="0.3">
      <c r="C37" s="45">
        <v>296.07</v>
      </c>
      <c r="D37" s="38">
        <f t="shared" si="0"/>
        <v>3.1085625227635248E-3</v>
      </c>
      <c r="E37" s="3"/>
    </row>
    <row r="38" spans="1:7" ht="15.75" customHeight="1" x14ac:dyDescent="0.3">
      <c r="C38" s="45">
        <v>296.55</v>
      </c>
      <c r="D38" s="38">
        <f t="shared" si="0"/>
        <v>4.7348404638279514E-3</v>
      </c>
      <c r="E38" s="3"/>
    </row>
    <row r="39" spans="1:7" ht="15.75" customHeight="1" x14ac:dyDescent="0.3">
      <c r="C39" s="45">
        <v>294.88</v>
      </c>
      <c r="D39" s="38">
        <f t="shared" si="0"/>
        <v>-9.2325153945853875E-4</v>
      </c>
      <c r="E39" s="3"/>
    </row>
    <row r="40" spans="1:7" ht="15.75" customHeight="1" x14ac:dyDescent="0.3">
      <c r="C40" s="45">
        <v>294.31</v>
      </c>
      <c r="D40" s="38">
        <f t="shared" si="0"/>
        <v>-2.8544565944724487E-3</v>
      </c>
      <c r="E40" s="3"/>
    </row>
    <row r="41" spans="1:7" ht="15.75" customHeight="1" x14ac:dyDescent="0.3">
      <c r="C41" s="45">
        <v>294.08999999999997</v>
      </c>
      <c r="D41" s="38">
        <f t="shared" si="0"/>
        <v>-3.5998339841270418E-3</v>
      </c>
      <c r="E41" s="3"/>
    </row>
    <row r="42" spans="1:7" ht="15.75" customHeight="1" x14ac:dyDescent="0.3">
      <c r="C42" s="45">
        <v>292.52999999999997</v>
      </c>
      <c r="D42" s="38">
        <f t="shared" si="0"/>
        <v>-8.8852372925862354E-3</v>
      </c>
      <c r="E42" s="3"/>
    </row>
    <row r="43" spans="1:7" ht="16.5" customHeight="1" x14ac:dyDescent="0.3">
      <c r="C43" s="46">
        <v>293.52</v>
      </c>
      <c r="D43" s="39">
        <f t="shared" si="0"/>
        <v>-5.5310390391409524E-3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5903.0500000000011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295.15250000000003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91">
        <f>C46</f>
        <v>295.15250000000003</v>
      </c>
      <c r="C49" s="43">
        <f>-IF(C46&lt;=80,10%,IF(C46&lt;250,7.5%,5%))</f>
        <v>-0.05</v>
      </c>
      <c r="D49" s="31">
        <f>IF(C46&lt;=80,C46*0.9,IF(C46&lt;250,C46*0.925,C46*0.95))</f>
        <v>280.39487500000001</v>
      </c>
    </row>
    <row r="50" spans="1:6" ht="17.25" customHeight="1" x14ac:dyDescent="0.3">
      <c r="B50" s="592"/>
      <c r="C50" s="44">
        <f>IF(C46&lt;=80, 10%, IF(C46&lt;250, 7.5%, 5%))</f>
        <v>0.05</v>
      </c>
      <c r="D50" s="31">
        <f>IF(C46&lt;=80, C46*1.1, IF(C46&lt;250, C46*1.075, C46*1.05))</f>
        <v>309.91012500000005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4" zoomScale="55" zoomScaleNormal="40" zoomScalePageLayoutView="55" workbookViewId="0">
      <selection activeCell="F63" sqref="F63"/>
    </sheetView>
  </sheetViews>
  <sheetFormatPr defaultColWidth="9.140625" defaultRowHeight="13.5" x14ac:dyDescent="0.25"/>
  <cols>
    <col min="1" max="1" width="55.42578125" style="94" customWidth="1"/>
    <col min="2" max="2" width="33.7109375" style="94" customWidth="1"/>
    <col min="3" max="3" width="42.28515625" style="94" customWidth="1"/>
    <col min="4" max="4" width="30.5703125" style="94" customWidth="1"/>
    <col min="5" max="5" width="39.85546875" style="94" customWidth="1"/>
    <col min="6" max="6" width="30.7109375" style="94" customWidth="1"/>
    <col min="7" max="7" width="39.85546875" style="94" customWidth="1"/>
    <col min="8" max="8" width="30" style="94" customWidth="1"/>
    <col min="9" max="9" width="30.28515625" style="94" hidden="1" customWidth="1"/>
    <col min="10" max="10" width="30.42578125" style="94" customWidth="1"/>
    <col min="11" max="11" width="21.28515625" style="94" customWidth="1"/>
    <col min="12" max="12" width="9.140625" style="94"/>
    <col min="13" max="16384" width="9.140625" style="96"/>
  </cols>
  <sheetData>
    <row r="1" spans="1:9" ht="18.75" customHeight="1" x14ac:dyDescent="0.25">
      <c r="A1" s="602" t="s">
        <v>45</v>
      </c>
      <c r="B1" s="602"/>
      <c r="C1" s="602"/>
      <c r="D1" s="602"/>
      <c r="E1" s="602"/>
      <c r="F1" s="602"/>
      <c r="G1" s="602"/>
      <c r="H1" s="602"/>
      <c r="I1" s="602"/>
    </row>
    <row r="2" spans="1:9" ht="18.75" customHeight="1" x14ac:dyDescent="0.25">
      <c r="A2" s="602"/>
      <c r="B2" s="602"/>
      <c r="C2" s="602"/>
      <c r="D2" s="602"/>
      <c r="E2" s="602"/>
      <c r="F2" s="602"/>
      <c r="G2" s="602"/>
      <c r="H2" s="602"/>
      <c r="I2" s="602"/>
    </row>
    <row r="3" spans="1:9" ht="18.75" customHeight="1" x14ac:dyDescent="0.25">
      <c r="A3" s="602"/>
      <c r="B3" s="602"/>
      <c r="C3" s="602"/>
      <c r="D3" s="602"/>
      <c r="E3" s="602"/>
      <c r="F3" s="602"/>
      <c r="G3" s="602"/>
      <c r="H3" s="602"/>
      <c r="I3" s="602"/>
    </row>
    <row r="4" spans="1:9" ht="18.75" customHeight="1" x14ac:dyDescent="0.25">
      <c r="A4" s="602"/>
      <c r="B4" s="602"/>
      <c r="C4" s="602"/>
      <c r="D4" s="602"/>
      <c r="E4" s="602"/>
      <c r="F4" s="602"/>
      <c r="G4" s="602"/>
      <c r="H4" s="602"/>
      <c r="I4" s="602"/>
    </row>
    <row r="5" spans="1:9" ht="18.75" customHeight="1" x14ac:dyDescent="0.25">
      <c r="A5" s="602"/>
      <c r="B5" s="602"/>
      <c r="C5" s="602"/>
      <c r="D5" s="602"/>
      <c r="E5" s="602"/>
      <c r="F5" s="602"/>
      <c r="G5" s="602"/>
      <c r="H5" s="602"/>
      <c r="I5" s="602"/>
    </row>
    <row r="6" spans="1:9" ht="18.75" customHeight="1" x14ac:dyDescent="0.25">
      <c r="A6" s="602"/>
      <c r="B6" s="602"/>
      <c r="C6" s="602"/>
      <c r="D6" s="602"/>
      <c r="E6" s="602"/>
      <c r="F6" s="602"/>
      <c r="G6" s="602"/>
      <c r="H6" s="602"/>
      <c r="I6" s="602"/>
    </row>
    <row r="7" spans="1:9" ht="18.75" customHeight="1" x14ac:dyDescent="0.25">
      <c r="A7" s="602"/>
      <c r="B7" s="602"/>
      <c r="C7" s="602"/>
      <c r="D7" s="602"/>
      <c r="E7" s="602"/>
      <c r="F7" s="602"/>
      <c r="G7" s="602"/>
      <c r="H7" s="602"/>
      <c r="I7" s="602"/>
    </row>
    <row r="8" spans="1:9" x14ac:dyDescent="0.25">
      <c r="A8" s="603" t="s">
        <v>46</v>
      </c>
      <c r="B8" s="603"/>
      <c r="C8" s="603"/>
      <c r="D8" s="603"/>
      <c r="E8" s="603"/>
      <c r="F8" s="603"/>
      <c r="G8" s="603"/>
      <c r="H8" s="603"/>
      <c r="I8" s="603"/>
    </row>
    <row r="9" spans="1:9" x14ac:dyDescent="0.25">
      <c r="A9" s="603"/>
      <c r="B9" s="603"/>
      <c r="C9" s="603"/>
      <c r="D9" s="603"/>
      <c r="E9" s="603"/>
      <c r="F9" s="603"/>
      <c r="G9" s="603"/>
      <c r="H9" s="603"/>
      <c r="I9" s="603"/>
    </row>
    <row r="10" spans="1:9" x14ac:dyDescent="0.25">
      <c r="A10" s="603"/>
      <c r="B10" s="603"/>
      <c r="C10" s="603"/>
      <c r="D10" s="603"/>
      <c r="E10" s="603"/>
      <c r="F10" s="603"/>
      <c r="G10" s="603"/>
      <c r="H10" s="603"/>
      <c r="I10" s="603"/>
    </row>
    <row r="11" spans="1:9" x14ac:dyDescent="0.25">
      <c r="A11" s="603"/>
      <c r="B11" s="603"/>
      <c r="C11" s="603"/>
      <c r="D11" s="603"/>
      <c r="E11" s="603"/>
      <c r="F11" s="603"/>
      <c r="G11" s="603"/>
      <c r="H11" s="603"/>
      <c r="I11" s="603"/>
    </row>
    <row r="12" spans="1:9" x14ac:dyDescent="0.25">
      <c r="A12" s="603"/>
      <c r="B12" s="603"/>
      <c r="C12" s="603"/>
      <c r="D12" s="603"/>
      <c r="E12" s="603"/>
      <c r="F12" s="603"/>
      <c r="G12" s="603"/>
      <c r="H12" s="603"/>
      <c r="I12" s="603"/>
    </row>
    <row r="13" spans="1:9" x14ac:dyDescent="0.25">
      <c r="A13" s="603"/>
      <c r="B13" s="603"/>
      <c r="C13" s="603"/>
      <c r="D13" s="603"/>
      <c r="E13" s="603"/>
      <c r="F13" s="603"/>
      <c r="G13" s="603"/>
      <c r="H13" s="603"/>
      <c r="I13" s="603"/>
    </row>
    <row r="14" spans="1:9" x14ac:dyDescent="0.25">
      <c r="A14" s="603"/>
      <c r="B14" s="603"/>
      <c r="C14" s="603"/>
      <c r="D14" s="603"/>
      <c r="E14" s="603"/>
      <c r="F14" s="603"/>
      <c r="G14" s="603"/>
      <c r="H14" s="603"/>
      <c r="I14" s="603"/>
    </row>
    <row r="15" spans="1:9" ht="19.5" customHeight="1" thickBot="1" x14ac:dyDescent="0.35">
      <c r="A15" s="95"/>
    </row>
    <row r="16" spans="1:9" ht="19.5" customHeight="1" thickBot="1" x14ac:dyDescent="0.35">
      <c r="A16" s="604" t="s">
        <v>31</v>
      </c>
      <c r="B16" s="605"/>
      <c r="C16" s="605"/>
      <c r="D16" s="605"/>
      <c r="E16" s="605"/>
      <c r="F16" s="605"/>
      <c r="G16" s="605"/>
      <c r="H16" s="606"/>
    </row>
    <row r="17" spans="1:14" ht="20.25" customHeight="1" x14ac:dyDescent="0.25">
      <c r="A17" s="607" t="s">
        <v>47</v>
      </c>
      <c r="B17" s="607"/>
      <c r="C17" s="607"/>
      <c r="D17" s="607"/>
      <c r="E17" s="607"/>
      <c r="F17" s="607"/>
      <c r="G17" s="607"/>
      <c r="H17" s="607"/>
    </row>
    <row r="18" spans="1:14" ht="26.25" customHeight="1" x14ac:dyDescent="0.4">
      <c r="A18" s="97" t="s">
        <v>33</v>
      </c>
      <c r="B18" s="608" t="s">
        <v>5</v>
      </c>
      <c r="C18" s="608"/>
      <c r="D18" s="98"/>
      <c r="E18" s="99"/>
      <c r="F18" s="100"/>
      <c r="G18" s="100"/>
      <c r="H18" s="100"/>
    </row>
    <row r="19" spans="1:14" ht="26.25" customHeight="1" x14ac:dyDescent="0.4">
      <c r="A19" s="97" t="s">
        <v>34</v>
      </c>
      <c r="B19" s="101" t="s">
        <v>7</v>
      </c>
      <c r="C19" s="100">
        <v>29</v>
      </c>
      <c r="D19" s="100"/>
      <c r="E19" s="100"/>
      <c r="F19" s="100"/>
      <c r="G19" s="100"/>
      <c r="H19" s="100"/>
    </row>
    <row r="20" spans="1:14" ht="26.25" customHeight="1" x14ac:dyDescent="0.4">
      <c r="A20" s="97" t="s">
        <v>35</v>
      </c>
      <c r="B20" s="609" t="s">
        <v>9</v>
      </c>
      <c r="C20" s="609"/>
      <c r="D20" s="100"/>
      <c r="E20" s="100"/>
      <c r="F20" s="100"/>
      <c r="G20" s="100"/>
      <c r="H20" s="100"/>
    </row>
    <row r="21" spans="1:14" ht="26.25" customHeight="1" x14ac:dyDescent="0.4">
      <c r="A21" s="97" t="s">
        <v>36</v>
      </c>
      <c r="B21" s="609" t="s">
        <v>11</v>
      </c>
      <c r="C21" s="609"/>
      <c r="D21" s="609"/>
      <c r="E21" s="609"/>
      <c r="F21" s="609"/>
      <c r="G21" s="609"/>
      <c r="H21" s="609"/>
      <c r="I21" s="102"/>
    </row>
    <row r="22" spans="1:14" ht="26.25" customHeight="1" x14ac:dyDescent="0.4">
      <c r="A22" s="97" t="s">
        <v>37</v>
      </c>
      <c r="B22" s="588">
        <v>42531.493668981479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7" t="s">
        <v>38</v>
      </c>
      <c r="B23" s="588">
        <v>42535.41033564815</v>
      </c>
      <c r="C23" s="100"/>
      <c r="D23" s="100"/>
      <c r="E23" s="100"/>
      <c r="F23" s="100"/>
      <c r="G23" s="100"/>
      <c r="H23" s="100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608" t="s">
        <v>127</v>
      </c>
      <c r="C26" s="608"/>
    </row>
    <row r="27" spans="1:14" ht="26.25" customHeight="1" x14ac:dyDescent="0.4">
      <c r="A27" s="106" t="s">
        <v>48</v>
      </c>
      <c r="B27" s="610" t="s">
        <v>128</v>
      </c>
      <c r="C27" s="610"/>
    </row>
    <row r="28" spans="1:14" ht="27" customHeight="1" thickBot="1" x14ac:dyDescent="0.45">
      <c r="A28" s="106" t="s">
        <v>6</v>
      </c>
      <c r="B28" s="107">
        <v>98.5</v>
      </c>
    </row>
    <row r="29" spans="1:14" s="109" customFormat="1" ht="27" customHeight="1" thickBot="1" x14ac:dyDescent="0.45">
      <c r="A29" s="106" t="s">
        <v>49</v>
      </c>
      <c r="B29" s="108">
        <v>0</v>
      </c>
      <c r="C29" s="611" t="s">
        <v>50</v>
      </c>
      <c r="D29" s="612"/>
      <c r="E29" s="612"/>
      <c r="F29" s="612"/>
      <c r="G29" s="613"/>
      <c r="I29" s="110"/>
      <c r="J29" s="110"/>
      <c r="K29" s="110"/>
      <c r="L29" s="110"/>
    </row>
    <row r="30" spans="1:14" s="109" customFormat="1" ht="19.5" customHeight="1" thickBot="1" x14ac:dyDescent="0.35">
      <c r="A30" s="106" t="s">
        <v>51</v>
      </c>
      <c r="B30" s="111">
        <f>B28-B29</f>
        <v>98.5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09" customFormat="1" ht="27" customHeight="1" thickBot="1" x14ac:dyDescent="0.45">
      <c r="A31" s="106" t="s">
        <v>52</v>
      </c>
      <c r="B31" s="114">
        <v>1</v>
      </c>
      <c r="C31" s="599" t="s">
        <v>53</v>
      </c>
      <c r="D31" s="600"/>
      <c r="E31" s="600"/>
      <c r="F31" s="600"/>
      <c r="G31" s="600"/>
      <c r="H31" s="601"/>
      <c r="I31" s="110"/>
      <c r="J31" s="110"/>
      <c r="K31" s="110"/>
      <c r="L31" s="110"/>
    </row>
    <row r="32" spans="1:14" s="109" customFormat="1" ht="27" customHeight="1" thickBot="1" x14ac:dyDescent="0.45">
      <c r="A32" s="106" t="s">
        <v>54</v>
      </c>
      <c r="B32" s="114">
        <v>1</v>
      </c>
      <c r="C32" s="599" t="s">
        <v>55</v>
      </c>
      <c r="D32" s="600"/>
      <c r="E32" s="600"/>
      <c r="F32" s="600"/>
      <c r="G32" s="600"/>
      <c r="H32" s="601"/>
      <c r="I32" s="110"/>
      <c r="J32" s="110"/>
      <c r="K32" s="110"/>
      <c r="L32" s="115"/>
      <c r="M32" s="115"/>
      <c r="N32" s="116"/>
    </row>
    <row r="33" spans="1:14" s="109" customFormat="1" ht="17.25" customHeight="1" x14ac:dyDescent="0.3">
      <c r="A33" s="106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09" customFormat="1" ht="18.75" x14ac:dyDescent="0.3">
      <c r="A34" s="106" t="s">
        <v>56</v>
      </c>
      <c r="B34" s="119">
        <f>B31/B32</f>
        <v>1</v>
      </c>
      <c r="C34" s="95" t="s">
        <v>57</v>
      </c>
      <c r="D34" s="95"/>
      <c r="E34" s="95"/>
      <c r="F34" s="95"/>
      <c r="G34" s="95"/>
      <c r="I34" s="110"/>
      <c r="J34" s="110"/>
      <c r="K34" s="110"/>
      <c r="L34" s="115"/>
      <c r="M34" s="115"/>
      <c r="N34" s="116"/>
    </row>
    <row r="35" spans="1:14" s="109" customFormat="1" ht="19.5" customHeight="1" thickBot="1" x14ac:dyDescent="0.35">
      <c r="A35" s="106"/>
      <c r="B35" s="111"/>
      <c r="G35" s="95"/>
      <c r="I35" s="110"/>
      <c r="J35" s="110"/>
      <c r="K35" s="110"/>
      <c r="L35" s="115"/>
      <c r="M35" s="115"/>
      <c r="N35" s="116"/>
    </row>
    <row r="36" spans="1:14" s="109" customFormat="1" ht="27" customHeight="1" thickBot="1" x14ac:dyDescent="0.45">
      <c r="A36" s="120" t="s">
        <v>58</v>
      </c>
      <c r="B36" s="121">
        <v>100</v>
      </c>
      <c r="C36" s="95"/>
      <c r="D36" s="614" t="s">
        <v>59</v>
      </c>
      <c r="E36" s="615"/>
      <c r="F36" s="614" t="s">
        <v>60</v>
      </c>
      <c r="G36" s="616"/>
      <c r="J36" s="110"/>
      <c r="K36" s="110"/>
      <c r="L36" s="115"/>
      <c r="M36" s="115"/>
      <c r="N36" s="116"/>
    </row>
    <row r="37" spans="1:14" s="109" customFormat="1" ht="27" customHeight="1" thickBot="1" x14ac:dyDescent="0.45">
      <c r="A37" s="122" t="s">
        <v>61</v>
      </c>
      <c r="B37" s="123">
        <v>1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09" customFormat="1" ht="26.25" customHeight="1" x14ac:dyDescent="0.4">
      <c r="A38" s="122" t="s">
        <v>66</v>
      </c>
      <c r="B38" s="123">
        <v>1</v>
      </c>
      <c r="C38" s="129">
        <v>1</v>
      </c>
      <c r="D38" s="130">
        <v>7689427</v>
      </c>
      <c r="E38" s="131">
        <f>IF(ISBLANK(D38),"-",$D$48/$D$45*D38)</f>
        <v>6333894.4203622285</v>
      </c>
      <c r="F38" s="130">
        <v>6309297</v>
      </c>
      <c r="G38" s="132">
        <f>IF(ISBLANK(F38),"-",$D$48/$F$45*F38)</f>
        <v>6310716.9113050438</v>
      </c>
      <c r="I38" s="133"/>
      <c r="J38" s="110"/>
      <c r="K38" s="110"/>
      <c r="L38" s="115"/>
      <c r="M38" s="115"/>
      <c r="N38" s="116"/>
    </row>
    <row r="39" spans="1:14" s="109" customFormat="1" ht="26.25" customHeight="1" x14ac:dyDescent="0.4">
      <c r="A39" s="122" t="s">
        <v>67</v>
      </c>
      <c r="B39" s="123">
        <v>1</v>
      </c>
      <c r="C39" s="134">
        <v>2</v>
      </c>
      <c r="D39" s="135">
        <v>7689148</v>
      </c>
      <c r="E39" s="136">
        <f>IF(ISBLANK(D39),"-",$D$48/$D$45*D39)</f>
        <v>6333664.6039476534</v>
      </c>
      <c r="F39" s="135">
        <v>6308213</v>
      </c>
      <c r="G39" s="137">
        <f>IF(ISBLANK(F39),"-",$D$48/$F$45*F39)</f>
        <v>6309632.6673501544</v>
      </c>
      <c r="I39" s="617">
        <f>ABS((F43/D43*D42)-F42)/D42</f>
        <v>3.000234786790951E-3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68</v>
      </c>
      <c r="B40" s="123">
        <v>1</v>
      </c>
      <c r="C40" s="134">
        <v>3</v>
      </c>
      <c r="D40" s="135">
        <v>7687659</v>
      </c>
      <c r="E40" s="136">
        <f>IF(ISBLANK(D40),"-",$D$48/$D$45*D40)</f>
        <v>6332438.0926885018</v>
      </c>
      <c r="F40" s="135">
        <v>6309008</v>
      </c>
      <c r="G40" s="137">
        <f>IF(ISBLANK(F40),"-",$D$48/$F$45*F40)</f>
        <v>6310427.8462654101</v>
      </c>
      <c r="I40" s="617"/>
      <c r="L40" s="115"/>
      <c r="M40" s="115"/>
      <c r="N40" s="95"/>
    </row>
    <row r="41" spans="1:14" ht="27" customHeight="1" thickBot="1" x14ac:dyDescent="0.45">
      <c r="A41" s="122" t="s">
        <v>69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5"/>
    </row>
    <row r="42" spans="1:14" ht="27" customHeight="1" thickBot="1" x14ac:dyDescent="0.45">
      <c r="A42" s="122" t="s">
        <v>70</v>
      </c>
      <c r="B42" s="123">
        <v>1</v>
      </c>
      <c r="C42" s="143" t="s">
        <v>71</v>
      </c>
      <c r="D42" s="144">
        <f>AVERAGE(D38:D41)</f>
        <v>7688744.666666667</v>
      </c>
      <c r="E42" s="145">
        <f>AVERAGE(E38:E41)</f>
        <v>6333332.3723327937</v>
      </c>
      <c r="F42" s="144">
        <f>AVERAGE(F38:F41)</f>
        <v>6308839.333333333</v>
      </c>
      <c r="G42" s="146">
        <f>AVERAGE(G38:G41)</f>
        <v>6310259.1416402021</v>
      </c>
      <c r="H42" s="147"/>
    </row>
    <row r="43" spans="1:14" ht="26.25" customHeight="1" x14ac:dyDescent="0.4">
      <c r="A43" s="122" t="s">
        <v>72</v>
      </c>
      <c r="B43" s="123">
        <v>1</v>
      </c>
      <c r="C43" s="148" t="s">
        <v>73</v>
      </c>
      <c r="D43" s="149">
        <v>9.86</v>
      </c>
      <c r="E43" s="95"/>
      <c r="F43" s="149">
        <v>8.1199999999999992</v>
      </c>
      <c r="H43" s="147"/>
    </row>
    <row r="44" spans="1:14" ht="26.25" customHeight="1" x14ac:dyDescent="0.4">
      <c r="A44" s="122" t="s">
        <v>74</v>
      </c>
      <c r="B44" s="123">
        <v>1</v>
      </c>
      <c r="C44" s="150" t="s">
        <v>75</v>
      </c>
      <c r="D44" s="151">
        <f>D43*$B$34</f>
        <v>9.86</v>
      </c>
      <c r="E44" s="152"/>
      <c r="F44" s="151">
        <f>F43*$B$34</f>
        <v>8.1199999999999992</v>
      </c>
      <c r="H44" s="147"/>
    </row>
    <row r="45" spans="1:14" ht="19.5" customHeight="1" thickBot="1" x14ac:dyDescent="0.35">
      <c r="A45" s="122" t="s">
        <v>76</v>
      </c>
      <c r="B45" s="134">
        <f>(B44/B43)*(B42/B41)*(B40/B39)*(B38/B37)*B36</f>
        <v>100</v>
      </c>
      <c r="C45" s="150" t="s">
        <v>77</v>
      </c>
      <c r="D45" s="153">
        <f>D44*$B$30/100</f>
        <v>9.7120999999999995</v>
      </c>
      <c r="E45" s="154"/>
      <c r="F45" s="153">
        <f>F44*$B$30/100</f>
        <v>7.9981999999999998</v>
      </c>
      <c r="H45" s="147"/>
    </row>
    <row r="46" spans="1:14" ht="19.5" customHeight="1" thickBot="1" x14ac:dyDescent="0.35">
      <c r="A46" s="618" t="s">
        <v>78</v>
      </c>
      <c r="B46" s="619"/>
      <c r="C46" s="150" t="s">
        <v>79</v>
      </c>
      <c r="D46" s="155">
        <f>D45/$B$45</f>
        <v>9.7120999999999999E-2</v>
      </c>
      <c r="E46" s="156"/>
      <c r="F46" s="157">
        <f>F45/$B$45</f>
        <v>7.9981999999999998E-2</v>
      </c>
      <c r="H46" s="147"/>
    </row>
    <row r="47" spans="1:14" ht="27" customHeight="1" thickBot="1" x14ac:dyDescent="0.45">
      <c r="A47" s="620"/>
      <c r="B47" s="621"/>
      <c r="C47" s="158" t="s">
        <v>80</v>
      </c>
      <c r="D47" s="159">
        <v>0.08</v>
      </c>
      <c r="E47" s="160"/>
      <c r="F47" s="156"/>
      <c r="H47" s="147"/>
    </row>
    <row r="48" spans="1:14" ht="18.75" x14ac:dyDescent="0.3">
      <c r="C48" s="161" t="s">
        <v>81</v>
      </c>
      <c r="D48" s="153">
        <f>D47*$B$45</f>
        <v>8</v>
      </c>
      <c r="F48" s="162"/>
      <c r="H48" s="147"/>
    </row>
    <row r="49" spans="1:12" ht="19.5" customHeight="1" thickBot="1" x14ac:dyDescent="0.35">
      <c r="C49" s="163" t="s">
        <v>82</v>
      </c>
      <c r="D49" s="164">
        <f>D48/B34</f>
        <v>8</v>
      </c>
      <c r="F49" s="162"/>
      <c r="H49" s="147"/>
    </row>
    <row r="50" spans="1:12" ht="18.75" x14ac:dyDescent="0.3">
      <c r="C50" s="120" t="s">
        <v>83</v>
      </c>
      <c r="D50" s="165">
        <f>AVERAGE(E38:E41,G38:G41)</f>
        <v>6321795.7569864988</v>
      </c>
      <c r="F50" s="166"/>
      <c r="H50" s="147"/>
    </row>
    <row r="51" spans="1:12" ht="18.75" x14ac:dyDescent="0.3">
      <c r="C51" s="122" t="s">
        <v>84</v>
      </c>
      <c r="D51" s="167">
        <f>STDEV(E38:E41,G38:G41)/D50</f>
        <v>2.0013950138744576E-3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85</v>
      </c>
    </row>
    <row r="55" spans="1:12" ht="18.75" x14ac:dyDescent="0.3">
      <c r="A55" s="95" t="s">
        <v>86</v>
      </c>
      <c r="B55" s="172" t="str">
        <f>B21</f>
        <v xml:space="preserve">Rifampicin 60mg, Isoniazid 30mg, Pyrazinamide 150mg 
</v>
      </c>
    </row>
    <row r="56" spans="1:12" ht="26.25" customHeight="1" x14ac:dyDescent="0.4">
      <c r="A56" s="172" t="s">
        <v>87</v>
      </c>
      <c r="B56" s="173">
        <v>30</v>
      </c>
      <c r="C56" s="95" t="str">
        <f>B20</f>
        <v xml:space="preserve">Rifampicin, Isoniazid, Pyrazinamide 
</v>
      </c>
      <c r="H56" s="152"/>
    </row>
    <row r="57" spans="1:12" ht="18.75" x14ac:dyDescent="0.3">
      <c r="A57" s="172" t="s">
        <v>88</v>
      </c>
      <c r="B57" s="174">
        <f>Uniformity!C46</f>
        <v>295.15250000000003</v>
      </c>
      <c r="H57" s="152"/>
    </row>
    <row r="58" spans="1:12" ht="19.5" customHeight="1" thickBot="1" x14ac:dyDescent="0.35">
      <c r="H58" s="152"/>
    </row>
    <row r="59" spans="1:12" s="109" customFormat="1" ht="27" customHeight="1" thickBot="1" x14ac:dyDescent="0.45">
      <c r="A59" s="120" t="s">
        <v>89</v>
      </c>
      <c r="B59" s="121">
        <v>100</v>
      </c>
      <c r="C59" s="95"/>
      <c r="D59" s="175" t="s">
        <v>90</v>
      </c>
      <c r="E59" s="176" t="s">
        <v>62</v>
      </c>
      <c r="F59" s="176" t="s">
        <v>63</v>
      </c>
      <c r="G59" s="176" t="s">
        <v>91</v>
      </c>
      <c r="H59" s="124" t="s">
        <v>92</v>
      </c>
      <c r="L59" s="110"/>
    </row>
    <row r="60" spans="1:12" s="109" customFormat="1" ht="26.25" customHeight="1" x14ac:dyDescent="0.4">
      <c r="A60" s="122" t="s">
        <v>93</v>
      </c>
      <c r="B60" s="123">
        <v>1</v>
      </c>
      <c r="C60" s="622" t="s">
        <v>94</v>
      </c>
      <c r="D60" s="625">
        <v>78.760000000000005</v>
      </c>
      <c r="E60" s="177">
        <v>1</v>
      </c>
      <c r="F60" s="507">
        <v>5837496</v>
      </c>
      <c r="G60" s="179">
        <f>IF(ISBLANK(F60),"-",(F60/$D$50*$D$47*$B$68)*($B$57/$D$60))</f>
        <v>27.683237650075537</v>
      </c>
      <c r="H60" s="180">
        <f t="shared" ref="H60:H71" si="0">IF(ISBLANK(F60),"-",G60/$B$56)</f>
        <v>0.92277458833585124</v>
      </c>
      <c r="L60" s="110"/>
    </row>
    <row r="61" spans="1:12" s="109" customFormat="1" ht="26.25" customHeight="1" x14ac:dyDescent="0.4">
      <c r="A61" s="122" t="s">
        <v>95</v>
      </c>
      <c r="B61" s="123">
        <v>1</v>
      </c>
      <c r="C61" s="623"/>
      <c r="D61" s="626"/>
      <c r="E61" s="181">
        <v>2</v>
      </c>
      <c r="F61" s="464">
        <v>5826097</v>
      </c>
      <c r="G61" s="182">
        <f>IF(ISBLANK(F61),"-",(F61/$D$50*$D$47*$B$68)*($B$57/$D$60))</f>
        <v>27.629180015436781</v>
      </c>
      <c r="H61" s="183">
        <f t="shared" si="0"/>
        <v>0.92097266718122606</v>
      </c>
      <c r="L61" s="110"/>
    </row>
    <row r="62" spans="1:12" s="109" customFormat="1" ht="26.25" customHeight="1" x14ac:dyDescent="0.4">
      <c r="A62" s="122" t="s">
        <v>96</v>
      </c>
      <c r="B62" s="123">
        <v>1</v>
      </c>
      <c r="C62" s="623"/>
      <c r="D62" s="626"/>
      <c r="E62" s="181">
        <v>3</v>
      </c>
      <c r="F62" s="513">
        <v>5832353</v>
      </c>
      <c r="G62" s="182">
        <f>IF(ISBLANK(F62),"-",(F62/$D$50*$D$47*$B$68)*($B$57/$D$60))</f>
        <v>27.658847930367919</v>
      </c>
      <c r="H62" s="183">
        <f t="shared" si="0"/>
        <v>0.9219615976789306</v>
      </c>
      <c r="L62" s="110"/>
    </row>
    <row r="63" spans="1:12" ht="27" customHeight="1" thickBot="1" x14ac:dyDescent="0.45">
      <c r="A63" s="122" t="s">
        <v>97</v>
      </c>
      <c r="B63" s="123">
        <v>1</v>
      </c>
      <c r="C63" s="624"/>
      <c r="D63" s="627"/>
      <c r="E63" s="184">
        <v>4</v>
      </c>
      <c r="F63" s="185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98</v>
      </c>
      <c r="B64" s="123">
        <v>1</v>
      </c>
      <c r="C64" s="622" t="s">
        <v>99</v>
      </c>
      <c r="D64" s="625">
        <v>76.349999999999994</v>
      </c>
      <c r="E64" s="177">
        <v>1</v>
      </c>
      <c r="F64" s="507">
        <v>5745964</v>
      </c>
      <c r="G64" s="186">
        <f>IF(ISBLANK(F64),"-",(F64/$D$50*$D$47*$B$68)*($B$57/$D$64))</f>
        <v>28.109288425825305</v>
      </c>
      <c r="H64" s="187">
        <f t="shared" si="0"/>
        <v>0.9369762808608435</v>
      </c>
    </row>
    <row r="65" spans="1:8" ht="26.25" customHeight="1" x14ac:dyDescent="0.4">
      <c r="A65" s="122" t="s">
        <v>100</v>
      </c>
      <c r="B65" s="123">
        <v>1</v>
      </c>
      <c r="C65" s="623"/>
      <c r="D65" s="626"/>
      <c r="E65" s="181">
        <v>2</v>
      </c>
      <c r="F65" s="464">
        <v>5739868</v>
      </c>
      <c r="G65" s="188">
        <f>IF(ISBLANK(F65),"-",(F65/$D$50*$D$47*$B$68)*($B$57/$D$64))</f>
        <v>28.079466759305326</v>
      </c>
      <c r="H65" s="189">
        <f t="shared" si="0"/>
        <v>0.9359822253101775</v>
      </c>
    </row>
    <row r="66" spans="1:8" ht="26.25" customHeight="1" x14ac:dyDescent="0.4">
      <c r="A66" s="122" t="s">
        <v>101</v>
      </c>
      <c r="B66" s="123">
        <v>1</v>
      </c>
      <c r="C66" s="623"/>
      <c r="D66" s="626"/>
      <c r="E66" s="181">
        <v>3</v>
      </c>
      <c r="F66" s="464">
        <v>5739842</v>
      </c>
      <c r="G66" s="188">
        <f>IF(ISBLANK(F66),"-",(F66/$D$50*$D$47*$B$68)*($B$57/$D$64))</f>
        <v>28.079339567158094</v>
      </c>
      <c r="H66" s="189">
        <f t="shared" si="0"/>
        <v>0.93597798557193645</v>
      </c>
    </row>
    <row r="67" spans="1:8" ht="27" customHeight="1" thickBot="1" x14ac:dyDescent="0.45">
      <c r="A67" s="122" t="s">
        <v>102</v>
      </c>
      <c r="B67" s="123">
        <v>1</v>
      </c>
      <c r="C67" s="624"/>
      <c r="D67" s="627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2" t="s">
        <v>103</v>
      </c>
      <c r="B68" s="192">
        <f>(B67/B66)*(B65/B64)*(B63/B62)*(B61/B60)*B59</f>
        <v>100</v>
      </c>
      <c r="C68" s="622" t="s">
        <v>104</v>
      </c>
      <c r="D68" s="625">
        <v>77.459999999999994</v>
      </c>
      <c r="E68" s="177">
        <v>1</v>
      </c>
      <c r="F68" s="178">
        <v>5933089</v>
      </c>
      <c r="G68" s="186">
        <f>IF(ISBLANK(F68),"-",(F68/$D$50*$D$47*$B$68)*($B$57/$D$68))</f>
        <v>28.608781637491699</v>
      </c>
      <c r="H68" s="183">
        <f t="shared" si="0"/>
        <v>0.9536260545830566</v>
      </c>
    </row>
    <row r="69" spans="1:8" ht="27" customHeight="1" thickBot="1" x14ac:dyDescent="0.45">
      <c r="A69" s="168" t="s">
        <v>105</v>
      </c>
      <c r="B69" s="193">
        <f>(D47*B68)/B56*B57</f>
        <v>78.707333333333338</v>
      </c>
      <c r="C69" s="623"/>
      <c r="D69" s="626"/>
      <c r="E69" s="181">
        <v>2</v>
      </c>
      <c r="F69" s="135">
        <v>5929539</v>
      </c>
      <c r="G69" s="188">
        <f>IF(ISBLANK(F69),"-",(F69/$D$50*$D$47*$B$68)*($B$57/$D$68))</f>
        <v>28.591663880651531</v>
      </c>
      <c r="H69" s="183">
        <f t="shared" si="0"/>
        <v>0.95305546268838437</v>
      </c>
    </row>
    <row r="70" spans="1:8" ht="26.25" customHeight="1" x14ac:dyDescent="0.4">
      <c r="A70" s="630" t="s">
        <v>78</v>
      </c>
      <c r="B70" s="631"/>
      <c r="C70" s="623"/>
      <c r="D70" s="626"/>
      <c r="E70" s="181">
        <v>3</v>
      </c>
      <c r="F70" s="135">
        <v>5930963</v>
      </c>
      <c r="G70" s="188">
        <f>IF(ISBLANK(F70),"-",(F70/$D$50*$D$47*$B$68)*($B$57/$D$68))</f>
        <v>28.598530271000939</v>
      </c>
      <c r="H70" s="183">
        <f t="shared" si="0"/>
        <v>0.95328434236669801</v>
      </c>
    </row>
    <row r="71" spans="1:8" ht="27" customHeight="1" thickBot="1" x14ac:dyDescent="0.45">
      <c r="A71" s="632"/>
      <c r="B71" s="633"/>
      <c r="C71" s="628"/>
      <c r="D71" s="627"/>
      <c r="E71" s="184">
        <v>4</v>
      </c>
      <c r="F71" s="185"/>
      <c r="G71" s="19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5" t="s">
        <v>71</v>
      </c>
      <c r="G72" s="196">
        <f>AVERAGE(G60:G71)</f>
        <v>28.115370681923675</v>
      </c>
      <c r="H72" s="197">
        <f>AVERAGE(H60:H71)</f>
        <v>0.93717902273078957</v>
      </c>
    </row>
    <row r="73" spans="1:8" ht="26.25" customHeight="1" x14ac:dyDescent="0.4">
      <c r="C73" s="152"/>
      <c r="D73" s="152"/>
      <c r="E73" s="152"/>
      <c r="F73" s="198" t="s">
        <v>84</v>
      </c>
      <c r="G73" s="199">
        <f>STDEV(G60:G71)/G72</f>
        <v>1.4545368029528426E-2</v>
      </c>
      <c r="H73" s="199">
        <f>STDEV(H60:H71)/H72</f>
        <v>1.4545368029528419E-2</v>
      </c>
    </row>
    <row r="74" spans="1:8" ht="27" customHeight="1" thickBot="1" x14ac:dyDescent="0.45">
      <c r="A74" s="152"/>
      <c r="B74" s="152"/>
      <c r="C74" s="152"/>
      <c r="D74" s="152"/>
      <c r="E74" s="154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5" t="s">
        <v>106</v>
      </c>
      <c r="B76" s="106" t="s">
        <v>107</v>
      </c>
      <c r="C76" s="634" t="str">
        <f>B20</f>
        <v xml:space="preserve">Rifampicin, Isoniazid, Pyrazinamide 
</v>
      </c>
      <c r="D76" s="634"/>
      <c r="E76" s="95" t="s">
        <v>108</v>
      </c>
      <c r="F76" s="95"/>
      <c r="G76" s="202">
        <f>H72</f>
        <v>0.93717902273078957</v>
      </c>
      <c r="H76" s="111"/>
    </row>
    <row r="77" spans="1:8" ht="18.75" x14ac:dyDescent="0.3">
      <c r="A77" s="104" t="s">
        <v>109</v>
      </c>
      <c r="B77" s="104" t="s">
        <v>110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629" t="str">
        <f>B26</f>
        <v>Isoniazid</v>
      </c>
      <c r="C79" s="629"/>
    </row>
    <row r="80" spans="1:8" ht="26.25" customHeight="1" x14ac:dyDescent="0.4">
      <c r="A80" s="106" t="s">
        <v>48</v>
      </c>
      <c r="B80" s="629" t="str">
        <f>B27</f>
        <v>I8-2</v>
      </c>
      <c r="C80" s="629"/>
    </row>
    <row r="81" spans="1:12" ht="27" customHeight="1" thickBot="1" x14ac:dyDescent="0.45">
      <c r="A81" s="106" t="s">
        <v>6</v>
      </c>
      <c r="B81" s="107">
        <f>B28</f>
        <v>98.5</v>
      </c>
    </row>
    <row r="82" spans="1:12" s="109" customFormat="1" ht="27" customHeight="1" thickBot="1" x14ac:dyDescent="0.45">
      <c r="A82" s="106" t="s">
        <v>49</v>
      </c>
      <c r="B82" s="108">
        <v>0</v>
      </c>
      <c r="C82" s="611" t="s">
        <v>50</v>
      </c>
      <c r="D82" s="612"/>
      <c r="E82" s="612"/>
      <c r="F82" s="612"/>
      <c r="G82" s="613"/>
      <c r="I82" s="110"/>
      <c r="J82" s="110"/>
      <c r="K82" s="110"/>
      <c r="L82" s="110"/>
    </row>
    <row r="83" spans="1:12" s="109" customFormat="1" ht="19.5" customHeight="1" thickBot="1" x14ac:dyDescent="0.35">
      <c r="A83" s="106" t="s">
        <v>51</v>
      </c>
      <c r="B83" s="111">
        <f>B81-B82</f>
        <v>98.5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09" customFormat="1" ht="27" customHeight="1" thickBot="1" x14ac:dyDescent="0.45">
      <c r="A84" s="106" t="s">
        <v>52</v>
      </c>
      <c r="B84" s="114">
        <v>1</v>
      </c>
      <c r="C84" s="599" t="s">
        <v>111</v>
      </c>
      <c r="D84" s="600"/>
      <c r="E84" s="600"/>
      <c r="F84" s="600"/>
      <c r="G84" s="600"/>
      <c r="H84" s="601"/>
      <c r="I84" s="110"/>
      <c r="J84" s="110"/>
      <c r="K84" s="110"/>
      <c r="L84" s="110"/>
    </row>
    <row r="85" spans="1:12" s="109" customFormat="1" ht="27" customHeight="1" thickBot="1" x14ac:dyDescent="0.45">
      <c r="A85" s="106" t="s">
        <v>54</v>
      </c>
      <c r="B85" s="114">
        <v>1</v>
      </c>
      <c r="C85" s="599" t="s">
        <v>112</v>
      </c>
      <c r="D85" s="600"/>
      <c r="E85" s="600"/>
      <c r="F85" s="600"/>
      <c r="G85" s="600"/>
      <c r="H85" s="601"/>
      <c r="I85" s="110"/>
      <c r="J85" s="110"/>
      <c r="K85" s="110"/>
      <c r="L85" s="110"/>
    </row>
    <row r="86" spans="1:12" s="109" customFormat="1" ht="18.75" x14ac:dyDescent="0.3">
      <c r="A86" s="106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09" customFormat="1" ht="18.75" x14ac:dyDescent="0.3">
      <c r="A87" s="106" t="s">
        <v>56</v>
      </c>
      <c r="B87" s="119">
        <f>B84/B85</f>
        <v>1</v>
      </c>
      <c r="C87" s="95" t="s">
        <v>57</v>
      </c>
      <c r="D87" s="95"/>
      <c r="E87" s="95"/>
      <c r="F87" s="95"/>
      <c r="G87" s="95"/>
      <c r="I87" s="110"/>
      <c r="J87" s="110"/>
      <c r="K87" s="110"/>
      <c r="L87" s="110"/>
    </row>
    <row r="88" spans="1:12" ht="19.5" customHeight="1" thickBot="1" x14ac:dyDescent="0.35">
      <c r="A88" s="104"/>
      <c r="B88" s="104"/>
    </row>
    <row r="89" spans="1:12" ht="27" customHeight="1" thickBot="1" x14ac:dyDescent="0.45">
      <c r="A89" s="120" t="s">
        <v>58</v>
      </c>
      <c r="B89" s="121">
        <v>100</v>
      </c>
      <c r="D89" s="203" t="s">
        <v>59</v>
      </c>
      <c r="E89" s="204"/>
      <c r="F89" s="614" t="s">
        <v>60</v>
      </c>
      <c r="G89" s="616"/>
    </row>
    <row r="90" spans="1:12" ht="27" customHeight="1" thickBot="1" x14ac:dyDescent="0.45">
      <c r="A90" s="122" t="s">
        <v>61</v>
      </c>
      <c r="B90" s="123">
        <v>10</v>
      </c>
      <c r="C90" s="205" t="s">
        <v>62</v>
      </c>
      <c r="D90" s="125" t="s">
        <v>63</v>
      </c>
      <c r="E90" s="126" t="s">
        <v>64</v>
      </c>
      <c r="F90" s="125" t="s">
        <v>63</v>
      </c>
      <c r="G90" s="206" t="s">
        <v>64</v>
      </c>
      <c r="I90" s="128" t="s">
        <v>65</v>
      </c>
    </row>
    <row r="91" spans="1:12" ht="26.25" customHeight="1" x14ac:dyDescent="0.4">
      <c r="A91" s="122" t="s">
        <v>66</v>
      </c>
      <c r="B91" s="123">
        <v>25</v>
      </c>
      <c r="C91" s="207">
        <v>1</v>
      </c>
      <c r="D91" s="130">
        <v>3070338</v>
      </c>
      <c r="E91" s="131">
        <f>IF(ISBLANK(D91),"-",$D$101/$D$98*D91)</f>
        <v>2634461.1361085656</v>
      </c>
      <c r="F91" s="130">
        <v>2521134</v>
      </c>
      <c r="G91" s="132">
        <f>IF(ISBLANK(F91),"-",$D$101/$F$98*F91)</f>
        <v>2626772.2737615965</v>
      </c>
      <c r="I91" s="133"/>
    </row>
    <row r="92" spans="1:12" ht="26.25" customHeight="1" x14ac:dyDescent="0.4">
      <c r="A92" s="122" t="s">
        <v>67</v>
      </c>
      <c r="B92" s="123">
        <v>1</v>
      </c>
      <c r="C92" s="152">
        <v>2</v>
      </c>
      <c r="D92" s="135">
        <v>3086043</v>
      </c>
      <c r="E92" s="136">
        <f>IF(ISBLANK(D92),"-",$D$101/$D$98*D92)</f>
        <v>2647936.5945573049</v>
      </c>
      <c r="F92" s="135">
        <v>2521678</v>
      </c>
      <c r="G92" s="137">
        <f>IF(ISBLANK(F92),"-",$D$101/$F$98*F92)</f>
        <v>2627339.067956957</v>
      </c>
      <c r="I92" s="617">
        <f>ABS((F96/D96*D95)-F95)/D95</f>
        <v>2.8616081943513426E-3</v>
      </c>
    </row>
    <row r="93" spans="1:12" ht="26.25" customHeight="1" x14ac:dyDescent="0.4">
      <c r="A93" s="122" t="s">
        <v>68</v>
      </c>
      <c r="B93" s="123">
        <v>1</v>
      </c>
      <c r="C93" s="152">
        <v>3</v>
      </c>
      <c r="D93" s="135">
        <v>3070434</v>
      </c>
      <c r="E93" s="136">
        <f>IF(ISBLANK(D93),"-",$D$101/$D$98*D93)</f>
        <v>2634543.5075833243</v>
      </c>
      <c r="F93" s="135">
        <v>2529338</v>
      </c>
      <c r="G93" s="137">
        <f>IF(ISBLANK(F93),"-",$D$101/$F$98*F93)</f>
        <v>2635320.0303401602</v>
      </c>
      <c r="I93" s="617"/>
    </row>
    <row r="94" spans="1:12" ht="27" customHeight="1" thickBot="1" x14ac:dyDescent="0.45">
      <c r="A94" s="122" t="s">
        <v>69</v>
      </c>
      <c r="B94" s="123">
        <v>1</v>
      </c>
      <c r="C94" s="208">
        <v>4</v>
      </c>
      <c r="D94" s="139"/>
      <c r="E94" s="140" t="str">
        <f>IF(ISBLANK(D94),"-",$D$101/$D$98*D94)</f>
        <v>-</v>
      </c>
      <c r="F94" s="209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70</v>
      </c>
      <c r="B95" s="123">
        <v>1</v>
      </c>
      <c r="C95" s="106" t="s">
        <v>71</v>
      </c>
      <c r="D95" s="210">
        <f>AVERAGE(D91:D94)</f>
        <v>3075605</v>
      </c>
      <c r="E95" s="145">
        <f>AVERAGE(E91:E94)</f>
        <v>2638980.4127497314</v>
      </c>
      <c r="F95" s="211">
        <f>AVERAGE(F91:F94)</f>
        <v>2524050</v>
      </c>
      <c r="G95" s="212">
        <f>AVERAGE(G91:G94)</f>
        <v>2629810.4573529046</v>
      </c>
    </row>
    <row r="96" spans="1:12" ht="26.25" customHeight="1" x14ac:dyDescent="0.4">
      <c r="A96" s="122" t="s">
        <v>72</v>
      </c>
      <c r="B96" s="107">
        <v>1</v>
      </c>
      <c r="C96" s="213" t="s">
        <v>113</v>
      </c>
      <c r="D96" s="214">
        <v>9.86</v>
      </c>
      <c r="E96" s="95"/>
      <c r="F96" s="149">
        <v>8.1199999999999992</v>
      </c>
    </row>
    <row r="97" spans="1:10" ht="26.25" customHeight="1" x14ac:dyDescent="0.4">
      <c r="A97" s="122" t="s">
        <v>74</v>
      </c>
      <c r="B97" s="107">
        <v>1</v>
      </c>
      <c r="C97" s="215" t="s">
        <v>114</v>
      </c>
      <c r="D97" s="216">
        <f>D96*$B$87</f>
        <v>9.86</v>
      </c>
      <c r="E97" s="152"/>
      <c r="F97" s="151">
        <f>F96*$B$87</f>
        <v>8.1199999999999992</v>
      </c>
    </row>
    <row r="98" spans="1:10" ht="19.5" customHeight="1" thickBot="1" x14ac:dyDescent="0.35">
      <c r="A98" s="122" t="s">
        <v>76</v>
      </c>
      <c r="B98" s="152">
        <f>(B97/B96)*(B95/B94)*(B93/B92)*(B91/B90)*B89</f>
        <v>250</v>
      </c>
      <c r="C98" s="215" t="s">
        <v>115</v>
      </c>
      <c r="D98" s="217">
        <f>D97*$B$83/100</f>
        <v>9.7120999999999995</v>
      </c>
      <c r="E98" s="154"/>
      <c r="F98" s="153">
        <f>F97*$B$83/100</f>
        <v>7.9981999999999998</v>
      </c>
    </row>
    <row r="99" spans="1:10" ht="19.5" customHeight="1" thickBot="1" x14ac:dyDescent="0.35">
      <c r="A99" s="618" t="s">
        <v>78</v>
      </c>
      <c r="B99" s="635"/>
      <c r="C99" s="215" t="s">
        <v>116</v>
      </c>
      <c r="D99" s="218">
        <f>D98/$B$98</f>
        <v>3.8848399999999998E-2</v>
      </c>
      <c r="E99" s="154"/>
      <c r="F99" s="157">
        <f>F98/$B$98</f>
        <v>3.1992800000000002E-2</v>
      </c>
      <c r="H99" s="147"/>
    </row>
    <row r="100" spans="1:10" ht="19.5" customHeight="1" thickBot="1" x14ac:dyDescent="0.35">
      <c r="A100" s="620"/>
      <c r="B100" s="636"/>
      <c r="C100" s="215" t="s">
        <v>80</v>
      </c>
      <c r="D100" s="219">
        <f>$B$56/$B$116</f>
        <v>3.3333333333333333E-2</v>
      </c>
      <c r="F100" s="162"/>
      <c r="G100" s="220"/>
      <c r="H100" s="147"/>
    </row>
    <row r="101" spans="1:10" ht="18.75" x14ac:dyDescent="0.3">
      <c r="C101" s="215" t="s">
        <v>81</v>
      </c>
      <c r="D101" s="216">
        <f>D100*$B$98</f>
        <v>8.3333333333333339</v>
      </c>
      <c r="F101" s="162"/>
      <c r="H101" s="147"/>
    </row>
    <row r="102" spans="1:10" ht="19.5" customHeight="1" thickBot="1" x14ac:dyDescent="0.35">
      <c r="C102" s="221" t="s">
        <v>82</v>
      </c>
      <c r="D102" s="222">
        <f>D101/B34</f>
        <v>8.3333333333333339</v>
      </c>
      <c r="F102" s="166"/>
      <c r="H102" s="147"/>
      <c r="J102" s="223"/>
    </row>
    <row r="103" spans="1:10" ht="18.75" x14ac:dyDescent="0.3">
      <c r="C103" s="224" t="s">
        <v>117</v>
      </c>
      <c r="D103" s="225">
        <f>AVERAGE(E91:E94,G91:G94)</f>
        <v>2634395.4350513183</v>
      </c>
      <c r="F103" s="166"/>
      <c r="G103" s="220"/>
      <c r="H103" s="147"/>
      <c r="J103" s="226"/>
    </row>
    <row r="104" spans="1:10" ht="18.75" x14ac:dyDescent="0.3">
      <c r="C104" s="198" t="s">
        <v>84</v>
      </c>
      <c r="D104" s="227">
        <f>STDEV(E91:E94,G91:G94)/D103</f>
        <v>2.9015913809756553E-3</v>
      </c>
      <c r="F104" s="166"/>
      <c r="H104" s="147"/>
      <c r="J104" s="226"/>
    </row>
    <row r="105" spans="1:10" ht="19.5" customHeight="1" thickBot="1" x14ac:dyDescent="0.35">
      <c r="C105" s="200" t="s">
        <v>20</v>
      </c>
      <c r="D105" s="228">
        <f>COUNT(E91:E94,G91:G94)</f>
        <v>6</v>
      </c>
      <c r="F105" s="166"/>
      <c r="H105" s="147"/>
      <c r="J105" s="226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6.25" customHeight="1" x14ac:dyDescent="0.4">
      <c r="A107" s="120" t="s">
        <v>118</v>
      </c>
      <c r="B107" s="121">
        <v>900</v>
      </c>
      <c r="C107" s="203" t="s">
        <v>119</v>
      </c>
      <c r="D107" s="229" t="s">
        <v>63</v>
      </c>
      <c r="E107" s="230" t="s">
        <v>120</v>
      </c>
      <c r="F107" s="231" t="s">
        <v>121</v>
      </c>
    </row>
    <row r="108" spans="1:10" ht="26.25" customHeight="1" x14ac:dyDescent="0.4">
      <c r="A108" s="122" t="s">
        <v>122</v>
      </c>
      <c r="B108" s="123">
        <v>1</v>
      </c>
      <c r="C108" s="232">
        <v>1</v>
      </c>
      <c r="D108" s="233">
        <v>2342035</v>
      </c>
      <c r="E108" s="234">
        <f t="shared" ref="E108:E113" si="1">IF(ISBLANK(D108),"-",D108/$D$103*$D$100*$B$116)</f>
        <v>26.670654323629023</v>
      </c>
      <c r="F108" s="235">
        <f t="shared" ref="F108:F113" si="2">IF(ISBLANK(D108), "-", E108/$B$56)</f>
        <v>0.88902181078763409</v>
      </c>
    </row>
    <row r="109" spans="1:10" ht="26.25" customHeight="1" x14ac:dyDescent="0.4">
      <c r="A109" s="122" t="s">
        <v>95</v>
      </c>
      <c r="B109" s="123">
        <v>1</v>
      </c>
      <c r="C109" s="232">
        <v>2</v>
      </c>
      <c r="D109" s="233">
        <v>2341047</v>
      </c>
      <c r="E109" s="236">
        <f t="shared" si="1"/>
        <v>26.659403165353531</v>
      </c>
      <c r="F109" s="237">
        <f t="shared" si="2"/>
        <v>0.88864677217845101</v>
      </c>
    </row>
    <row r="110" spans="1:10" ht="26.25" customHeight="1" x14ac:dyDescent="0.4">
      <c r="A110" s="122" t="s">
        <v>96</v>
      </c>
      <c r="B110" s="123">
        <v>1</v>
      </c>
      <c r="C110" s="232">
        <v>3</v>
      </c>
      <c r="D110" s="233">
        <v>2323626</v>
      </c>
      <c r="E110" s="236">
        <f t="shared" si="1"/>
        <v>26.461016092157806</v>
      </c>
      <c r="F110" s="237">
        <f t="shared" si="2"/>
        <v>0.88203386973859355</v>
      </c>
    </row>
    <row r="111" spans="1:10" ht="26.25" customHeight="1" x14ac:dyDescent="0.4">
      <c r="A111" s="122" t="s">
        <v>97</v>
      </c>
      <c r="B111" s="123">
        <v>1</v>
      </c>
      <c r="C111" s="232">
        <v>4</v>
      </c>
      <c r="D111" s="233">
        <v>2386914</v>
      </c>
      <c r="E111" s="236">
        <f t="shared" si="1"/>
        <v>27.181727939262498</v>
      </c>
      <c r="F111" s="237">
        <f t="shared" si="2"/>
        <v>0.90605759797541663</v>
      </c>
    </row>
    <row r="112" spans="1:10" ht="26.25" customHeight="1" x14ac:dyDescent="0.4">
      <c r="A112" s="122" t="s">
        <v>98</v>
      </c>
      <c r="B112" s="123">
        <v>1</v>
      </c>
      <c r="C112" s="232">
        <v>5</v>
      </c>
      <c r="D112" s="233">
        <v>2387654</v>
      </c>
      <c r="E112" s="236">
        <f t="shared" si="1"/>
        <v>27.190154920157099</v>
      </c>
      <c r="F112" s="237">
        <f t="shared" si="2"/>
        <v>0.90633849733856997</v>
      </c>
    </row>
    <row r="113" spans="1:10" ht="26.25" customHeight="1" x14ac:dyDescent="0.4">
      <c r="A113" s="122" t="s">
        <v>100</v>
      </c>
      <c r="B113" s="123">
        <v>1</v>
      </c>
      <c r="C113" s="238">
        <v>6</v>
      </c>
      <c r="D113" s="239">
        <v>2309639</v>
      </c>
      <c r="E113" s="240">
        <f t="shared" si="1"/>
        <v>26.301734765437839</v>
      </c>
      <c r="F113" s="241">
        <f t="shared" si="2"/>
        <v>0.87672449218126125</v>
      </c>
    </row>
    <row r="114" spans="1:10" ht="26.25" customHeight="1" x14ac:dyDescent="0.4">
      <c r="A114" s="122" t="s">
        <v>101</v>
      </c>
      <c r="B114" s="123">
        <v>1</v>
      </c>
      <c r="C114" s="232"/>
      <c r="D114" s="152"/>
      <c r="E114" s="95"/>
      <c r="F114" s="242"/>
    </row>
    <row r="115" spans="1:10" ht="26.25" customHeight="1" x14ac:dyDescent="0.4">
      <c r="A115" s="122" t="s">
        <v>102</v>
      </c>
      <c r="B115" s="123">
        <v>1</v>
      </c>
      <c r="C115" s="232"/>
      <c r="D115" s="243" t="s">
        <v>71</v>
      </c>
      <c r="E115" s="244">
        <f>AVERAGE(E108:E113)</f>
        <v>26.74411520099963</v>
      </c>
      <c r="F115" s="245">
        <f>AVERAGE(F108:F113)</f>
        <v>0.89147050669998773</v>
      </c>
    </row>
    <row r="116" spans="1:10" ht="27" customHeight="1" thickBot="1" x14ac:dyDescent="0.45">
      <c r="A116" s="122" t="s">
        <v>103</v>
      </c>
      <c r="B116" s="134">
        <f>(B115/B114)*(B113/B112)*(B111/B110)*(B109/B108)*B107</f>
        <v>900</v>
      </c>
      <c r="C116" s="246"/>
      <c r="D116" s="106" t="s">
        <v>84</v>
      </c>
      <c r="E116" s="247">
        <f>STDEV(E108:E113)/E115</f>
        <v>1.3777852126604128E-2</v>
      </c>
      <c r="F116" s="247">
        <f>STDEV(F108:F113)/F115</f>
        <v>1.3777852126604156E-2</v>
      </c>
      <c r="I116" s="95"/>
    </row>
    <row r="117" spans="1:10" ht="27" customHeight="1" thickBot="1" x14ac:dyDescent="0.45">
      <c r="A117" s="618" t="s">
        <v>78</v>
      </c>
      <c r="B117" s="619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5"/>
      <c r="J117" s="226"/>
    </row>
    <row r="118" spans="1:10" ht="19.5" customHeight="1" thickBot="1" x14ac:dyDescent="0.35">
      <c r="A118" s="620"/>
      <c r="B118" s="621"/>
      <c r="C118" s="95"/>
      <c r="D118" s="95"/>
      <c r="E118" s="95"/>
      <c r="F118" s="152"/>
      <c r="G118" s="95"/>
      <c r="H118" s="95"/>
      <c r="I118" s="95"/>
    </row>
    <row r="119" spans="1:10" ht="18.75" x14ac:dyDescent="0.3">
      <c r="A119" s="251"/>
      <c r="B119" s="118"/>
      <c r="C119" s="95"/>
      <c r="D119" s="95"/>
      <c r="E119" s="95"/>
      <c r="F119" s="152"/>
      <c r="G119" s="95"/>
      <c r="H119" s="95"/>
      <c r="I119" s="95"/>
    </row>
    <row r="120" spans="1:10" ht="26.25" customHeight="1" x14ac:dyDescent="0.4">
      <c r="A120" s="105" t="s">
        <v>106</v>
      </c>
      <c r="B120" s="106" t="s">
        <v>123</v>
      </c>
      <c r="C120" s="634" t="str">
        <f>B20</f>
        <v xml:space="preserve">Rifampicin, Isoniazid, Pyrazinamide 
</v>
      </c>
      <c r="D120" s="634"/>
      <c r="E120" s="95" t="s">
        <v>124</v>
      </c>
      <c r="F120" s="95"/>
      <c r="G120" s="202">
        <f>F115</f>
        <v>0.89147050669998773</v>
      </c>
      <c r="H120" s="95"/>
      <c r="I120" s="95"/>
    </row>
    <row r="121" spans="1:10" ht="19.5" customHeight="1" thickBo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637" t="s">
        <v>26</v>
      </c>
      <c r="C122" s="637"/>
      <c r="E122" s="205" t="s">
        <v>27</v>
      </c>
      <c r="F122" s="254"/>
      <c r="G122" s="637" t="s">
        <v>28</v>
      </c>
      <c r="H122" s="637"/>
    </row>
    <row r="123" spans="1:10" ht="69.95" customHeight="1" x14ac:dyDescent="0.3">
      <c r="A123" s="105" t="s">
        <v>29</v>
      </c>
      <c r="B123" s="255"/>
      <c r="C123" s="255"/>
      <c r="E123" s="255"/>
      <c r="F123" s="95"/>
      <c r="G123" s="255"/>
      <c r="H123" s="255"/>
    </row>
    <row r="124" spans="1:10" ht="69.95" customHeight="1" x14ac:dyDescent="0.3">
      <c r="A124" s="105" t="s">
        <v>30</v>
      </c>
      <c r="B124" s="256"/>
      <c r="C124" s="256"/>
      <c r="E124" s="256"/>
      <c r="F124" s="95"/>
      <c r="G124" s="257"/>
      <c r="H124" s="257"/>
    </row>
    <row r="125" spans="1:10" ht="18.75" x14ac:dyDescent="0.3">
      <c r="A125" s="152"/>
      <c r="B125" s="152"/>
      <c r="C125" s="152"/>
      <c r="D125" s="152"/>
      <c r="E125" s="152"/>
      <c r="F125" s="154"/>
      <c r="G125" s="152"/>
      <c r="H125" s="152"/>
      <c r="I125" s="95"/>
    </row>
    <row r="126" spans="1:10" ht="18.75" x14ac:dyDescent="0.3">
      <c r="A126" s="152"/>
      <c r="B126" s="152"/>
      <c r="C126" s="152"/>
      <c r="D126" s="152"/>
      <c r="E126" s="152"/>
      <c r="F126" s="154"/>
      <c r="G126" s="152"/>
      <c r="H126" s="152"/>
      <c r="I126" s="95"/>
    </row>
    <row r="127" spans="1:10" ht="18.75" x14ac:dyDescent="0.3">
      <c r="A127" s="152"/>
      <c r="B127" s="152"/>
      <c r="C127" s="152"/>
      <c r="D127" s="152"/>
      <c r="E127" s="152"/>
      <c r="F127" s="154"/>
      <c r="G127" s="152"/>
      <c r="H127" s="152"/>
      <c r="I127" s="95"/>
    </row>
    <row r="128" spans="1:10" ht="18.75" x14ac:dyDescent="0.3">
      <c r="A128" s="152"/>
      <c r="B128" s="152"/>
      <c r="C128" s="152"/>
      <c r="D128" s="152"/>
      <c r="E128" s="152"/>
      <c r="F128" s="154"/>
      <c r="G128" s="152"/>
      <c r="H128" s="152"/>
      <c r="I128" s="95"/>
    </row>
    <row r="129" spans="1:9" ht="18.75" x14ac:dyDescent="0.3">
      <c r="A129" s="152"/>
      <c r="B129" s="152"/>
      <c r="C129" s="152"/>
      <c r="D129" s="152"/>
      <c r="E129" s="152"/>
      <c r="F129" s="154"/>
      <c r="G129" s="152"/>
      <c r="H129" s="152"/>
      <c r="I129" s="95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5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5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5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5"/>
    </row>
    <row r="250" spans="1:1" x14ac:dyDescent="0.25">
      <c r="A250" s="9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3" zoomScale="55" zoomScaleNormal="40" zoomScalePageLayoutView="55" workbookViewId="0">
      <selection activeCell="G56" sqref="G56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641" t="s">
        <v>45</v>
      </c>
      <c r="B1" s="641"/>
      <c r="C1" s="641"/>
      <c r="D1" s="641"/>
      <c r="E1" s="641"/>
      <c r="F1" s="641"/>
      <c r="G1" s="641"/>
      <c r="H1" s="641"/>
      <c r="I1" s="641"/>
    </row>
    <row r="2" spans="1:9" ht="18.75" customHeight="1" x14ac:dyDescent="0.25">
      <c r="A2" s="641"/>
      <c r="B2" s="641"/>
      <c r="C2" s="641"/>
      <c r="D2" s="641"/>
      <c r="E2" s="641"/>
      <c r="F2" s="641"/>
      <c r="G2" s="641"/>
      <c r="H2" s="641"/>
      <c r="I2" s="641"/>
    </row>
    <row r="3" spans="1:9" ht="18.75" customHeight="1" x14ac:dyDescent="0.25">
      <c r="A3" s="641"/>
      <c r="B3" s="641"/>
      <c r="C3" s="641"/>
      <c r="D3" s="641"/>
      <c r="E3" s="641"/>
      <c r="F3" s="641"/>
      <c r="G3" s="641"/>
      <c r="H3" s="641"/>
      <c r="I3" s="641"/>
    </row>
    <row r="4" spans="1:9" ht="18.75" customHeight="1" x14ac:dyDescent="0.25">
      <c r="A4" s="641"/>
      <c r="B4" s="641"/>
      <c r="C4" s="641"/>
      <c r="D4" s="641"/>
      <c r="E4" s="641"/>
      <c r="F4" s="641"/>
      <c r="G4" s="641"/>
      <c r="H4" s="641"/>
      <c r="I4" s="641"/>
    </row>
    <row r="5" spans="1:9" ht="18.75" customHeight="1" x14ac:dyDescent="0.25">
      <c r="A5" s="641"/>
      <c r="B5" s="641"/>
      <c r="C5" s="641"/>
      <c r="D5" s="641"/>
      <c r="E5" s="641"/>
      <c r="F5" s="641"/>
      <c r="G5" s="641"/>
      <c r="H5" s="641"/>
      <c r="I5" s="641"/>
    </row>
    <row r="6" spans="1:9" ht="18.75" customHeight="1" x14ac:dyDescent="0.25">
      <c r="A6" s="641"/>
      <c r="B6" s="641"/>
      <c r="C6" s="641"/>
      <c r="D6" s="641"/>
      <c r="E6" s="641"/>
      <c r="F6" s="641"/>
      <c r="G6" s="641"/>
      <c r="H6" s="641"/>
      <c r="I6" s="641"/>
    </row>
    <row r="7" spans="1:9" ht="18.75" customHeight="1" x14ac:dyDescent="0.25">
      <c r="A7" s="641"/>
      <c r="B7" s="641"/>
      <c r="C7" s="641"/>
      <c r="D7" s="641"/>
      <c r="E7" s="641"/>
      <c r="F7" s="641"/>
      <c r="G7" s="641"/>
      <c r="H7" s="641"/>
      <c r="I7" s="641"/>
    </row>
    <row r="8" spans="1:9" x14ac:dyDescent="0.25">
      <c r="A8" s="642" t="s">
        <v>46</v>
      </c>
      <c r="B8" s="642"/>
      <c r="C8" s="642"/>
      <c r="D8" s="642"/>
      <c r="E8" s="642"/>
      <c r="F8" s="642"/>
      <c r="G8" s="642"/>
      <c r="H8" s="642"/>
      <c r="I8" s="642"/>
    </row>
    <row r="9" spans="1:9" x14ac:dyDescent="0.25">
      <c r="A9" s="642"/>
      <c r="B9" s="642"/>
      <c r="C9" s="642"/>
      <c r="D9" s="642"/>
      <c r="E9" s="642"/>
      <c r="F9" s="642"/>
      <c r="G9" s="642"/>
      <c r="H9" s="642"/>
      <c r="I9" s="642"/>
    </row>
    <row r="10" spans="1:9" x14ac:dyDescent="0.25">
      <c r="A10" s="642"/>
      <c r="B10" s="642"/>
      <c r="C10" s="642"/>
      <c r="D10" s="642"/>
      <c r="E10" s="642"/>
      <c r="F10" s="642"/>
      <c r="G10" s="642"/>
      <c r="H10" s="642"/>
      <c r="I10" s="642"/>
    </row>
    <row r="11" spans="1:9" x14ac:dyDescent="0.25">
      <c r="A11" s="642"/>
      <c r="B11" s="642"/>
      <c r="C11" s="642"/>
      <c r="D11" s="642"/>
      <c r="E11" s="642"/>
      <c r="F11" s="642"/>
      <c r="G11" s="642"/>
      <c r="H11" s="642"/>
      <c r="I11" s="642"/>
    </row>
    <row r="12" spans="1:9" x14ac:dyDescent="0.25">
      <c r="A12" s="642"/>
      <c r="B12" s="642"/>
      <c r="C12" s="642"/>
      <c r="D12" s="642"/>
      <c r="E12" s="642"/>
      <c r="F12" s="642"/>
      <c r="G12" s="642"/>
      <c r="H12" s="642"/>
      <c r="I12" s="642"/>
    </row>
    <row r="13" spans="1:9" x14ac:dyDescent="0.25">
      <c r="A13" s="642"/>
      <c r="B13" s="642"/>
      <c r="C13" s="642"/>
      <c r="D13" s="642"/>
      <c r="E13" s="642"/>
      <c r="F13" s="642"/>
      <c r="G13" s="642"/>
      <c r="H13" s="642"/>
      <c r="I13" s="642"/>
    </row>
    <row r="14" spans="1:9" x14ac:dyDescent="0.25">
      <c r="A14" s="642"/>
      <c r="B14" s="642"/>
      <c r="C14" s="642"/>
      <c r="D14" s="642"/>
      <c r="E14" s="642"/>
      <c r="F14" s="642"/>
      <c r="G14" s="642"/>
      <c r="H14" s="642"/>
      <c r="I14" s="642"/>
    </row>
    <row r="15" spans="1:9" ht="19.5" customHeight="1" thickBot="1" x14ac:dyDescent="0.35">
      <c r="A15" s="259"/>
    </row>
    <row r="16" spans="1:9" ht="19.5" customHeight="1" thickBot="1" x14ac:dyDescent="0.35">
      <c r="A16" s="643" t="s">
        <v>31</v>
      </c>
      <c r="B16" s="644"/>
      <c r="C16" s="644"/>
      <c r="D16" s="644"/>
      <c r="E16" s="644"/>
      <c r="F16" s="644"/>
      <c r="G16" s="644"/>
      <c r="H16" s="645"/>
    </row>
    <row r="17" spans="1:14" ht="20.25" customHeight="1" x14ac:dyDescent="0.25">
      <c r="A17" s="646" t="s">
        <v>47</v>
      </c>
      <c r="B17" s="646"/>
      <c r="C17" s="646"/>
      <c r="D17" s="646"/>
      <c r="E17" s="646"/>
      <c r="F17" s="646"/>
      <c r="G17" s="646"/>
      <c r="H17" s="646"/>
    </row>
    <row r="18" spans="1:14" ht="26.25" customHeight="1" x14ac:dyDescent="0.4">
      <c r="A18" s="261" t="s">
        <v>33</v>
      </c>
      <c r="B18" s="647" t="s">
        <v>5</v>
      </c>
      <c r="C18" s="647"/>
      <c r="D18" s="262"/>
      <c r="E18" s="263"/>
      <c r="F18" s="264"/>
      <c r="G18" s="264"/>
      <c r="H18" s="264"/>
    </row>
    <row r="19" spans="1:14" ht="26.25" customHeight="1" x14ac:dyDescent="0.4">
      <c r="A19" s="261" t="s">
        <v>34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35</v>
      </c>
      <c r="B20" s="648" t="s">
        <v>9</v>
      </c>
      <c r="C20" s="648"/>
      <c r="D20" s="264"/>
      <c r="E20" s="264"/>
      <c r="F20" s="264"/>
      <c r="G20" s="264"/>
      <c r="H20" s="264"/>
    </row>
    <row r="21" spans="1:14" ht="26.25" customHeight="1" x14ac:dyDescent="0.4">
      <c r="A21" s="261" t="s">
        <v>36</v>
      </c>
      <c r="B21" s="648" t="s">
        <v>11</v>
      </c>
      <c r="C21" s="648"/>
      <c r="D21" s="648"/>
      <c r="E21" s="648"/>
      <c r="F21" s="648"/>
      <c r="G21" s="648"/>
      <c r="H21" s="648"/>
      <c r="I21" s="266"/>
    </row>
    <row r="22" spans="1:14" ht="26.25" customHeight="1" x14ac:dyDescent="0.4">
      <c r="A22" s="261" t="s">
        <v>37</v>
      </c>
      <c r="B22" s="588">
        <v>42531.493668981479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38</v>
      </c>
      <c r="B23" s="588">
        <v>42535.41033564815</v>
      </c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7"/>
    </row>
    <row r="25" spans="1:14" ht="18.75" x14ac:dyDescent="0.3">
      <c r="A25" s="268" t="s">
        <v>1</v>
      </c>
      <c r="B25" s="267"/>
    </row>
    <row r="26" spans="1:14" ht="26.25" customHeight="1" x14ac:dyDescent="0.4">
      <c r="A26" s="269" t="s">
        <v>4</v>
      </c>
      <c r="B26" s="647" t="s">
        <v>129</v>
      </c>
      <c r="C26" s="647"/>
    </row>
    <row r="27" spans="1:14" ht="26.25" customHeight="1" x14ac:dyDescent="0.4">
      <c r="A27" s="270" t="s">
        <v>48</v>
      </c>
      <c r="B27" s="649" t="s">
        <v>130</v>
      </c>
      <c r="C27" s="649"/>
    </row>
    <row r="28" spans="1:14" ht="27" customHeight="1" thickBot="1" x14ac:dyDescent="0.45">
      <c r="A28" s="270" t="s">
        <v>6</v>
      </c>
      <c r="B28" s="271">
        <v>99.5</v>
      </c>
    </row>
    <row r="29" spans="1:14" s="273" customFormat="1" ht="27" customHeight="1" thickBot="1" x14ac:dyDescent="0.45">
      <c r="A29" s="270" t="s">
        <v>49</v>
      </c>
      <c r="B29" s="272">
        <v>0</v>
      </c>
      <c r="C29" s="650" t="s">
        <v>50</v>
      </c>
      <c r="D29" s="651"/>
      <c r="E29" s="651"/>
      <c r="F29" s="651"/>
      <c r="G29" s="652"/>
      <c r="I29" s="274"/>
      <c r="J29" s="274"/>
      <c r="K29" s="274"/>
      <c r="L29" s="274"/>
    </row>
    <row r="30" spans="1:14" s="273" customFormat="1" ht="19.5" customHeight="1" thickBot="1" x14ac:dyDescent="0.35">
      <c r="A30" s="270" t="s">
        <v>51</v>
      </c>
      <c r="B30" s="275">
        <f>B28-B29</f>
        <v>99.5</v>
      </c>
      <c r="C30" s="276"/>
      <c r="D30" s="276"/>
      <c r="E30" s="276"/>
      <c r="F30" s="276"/>
      <c r="G30" s="277"/>
      <c r="I30" s="274"/>
      <c r="J30" s="274"/>
      <c r="K30" s="274"/>
      <c r="L30" s="274"/>
    </row>
    <row r="31" spans="1:14" s="273" customFormat="1" ht="27" customHeight="1" thickBot="1" x14ac:dyDescent="0.45">
      <c r="A31" s="270" t="s">
        <v>52</v>
      </c>
      <c r="B31" s="278">
        <v>1</v>
      </c>
      <c r="C31" s="638" t="s">
        <v>53</v>
      </c>
      <c r="D31" s="639"/>
      <c r="E31" s="639"/>
      <c r="F31" s="639"/>
      <c r="G31" s="639"/>
      <c r="H31" s="640"/>
      <c r="I31" s="274"/>
      <c r="J31" s="274"/>
      <c r="K31" s="274"/>
      <c r="L31" s="274"/>
    </row>
    <row r="32" spans="1:14" s="273" customFormat="1" ht="27" customHeight="1" thickBot="1" x14ac:dyDescent="0.45">
      <c r="A32" s="270" t="s">
        <v>54</v>
      </c>
      <c r="B32" s="278">
        <v>1</v>
      </c>
      <c r="C32" s="638" t="s">
        <v>55</v>
      </c>
      <c r="D32" s="639"/>
      <c r="E32" s="639"/>
      <c r="F32" s="639"/>
      <c r="G32" s="639"/>
      <c r="H32" s="640"/>
      <c r="I32" s="274"/>
      <c r="J32" s="274"/>
      <c r="K32" s="274"/>
      <c r="L32" s="279"/>
      <c r="M32" s="279"/>
      <c r="N32" s="280"/>
    </row>
    <row r="33" spans="1:14" s="273" customFormat="1" ht="17.25" customHeight="1" x14ac:dyDescent="0.3">
      <c r="A33" s="270"/>
      <c r="B33" s="281"/>
      <c r="C33" s="282"/>
      <c r="D33" s="282"/>
      <c r="E33" s="282"/>
      <c r="F33" s="282"/>
      <c r="G33" s="282"/>
      <c r="H33" s="282"/>
      <c r="I33" s="274"/>
      <c r="J33" s="274"/>
      <c r="K33" s="274"/>
      <c r="L33" s="279"/>
      <c r="M33" s="279"/>
      <c r="N33" s="280"/>
    </row>
    <row r="34" spans="1:14" s="273" customFormat="1" ht="18.75" x14ac:dyDescent="0.3">
      <c r="A34" s="270" t="s">
        <v>56</v>
      </c>
      <c r="B34" s="283">
        <f>B31/B32</f>
        <v>1</v>
      </c>
      <c r="C34" s="259" t="s">
        <v>57</v>
      </c>
      <c r="D34" s="259"/>
      <c r="E34" s="259"/>
      <c r="F34" s="259"/>
      <c r="G34" s="259"/>
      <c r="I34" s="274"/>
      <c r="J34" s="274"/>
      <c r="K34" s="274"/>
      <c r="L34" s="279"/>
      <c r="M34" s="279"/>
      <c r="N34" s="280"/>
    </row>
    <row r="35" spans="1:14" s="273" customFormat="1" ht="19.5" customHeight="1" thickBot="1" x14ac:dyDescent="0.35">
      <c r="A35" s="270"/>
      <c r="B35" s="275"/>
      <c r="G35" s="259"/>
      <c r="I35" s="274"/>
      <c r="J35" s="274"/>
      <c r="K35" s="274"/>
      <c r="L35" s="279"/>
      <c r="M35" s="279"/>
      <c r="N35" s="280"/>
    </row>
    <row r="36" spans="1:14" s="273" customFormat="1" ht="27" customHeight="1" thickBot="1" x14ac:dyDescent="0.45">
      <c r="A36" s="284" t="s">
        <v>58</v>
      </c>
      <c r="B36" s="285">
        <v>100</v>
      </c>
      <c r="C36" s="259"/>
      <c r="D36" s="653" t="s">
        <v>59</v>
      </c>
      <c r="E36" s="654"/>
      <c r="F36" s="653" t="s">
        <v>60</v>
      </c>
      <c r="G36" s="655"/>
      <c r="J36" s="274"/>
      <c r="K36" s="274"/>
      <c r="L36" s="279"/>
      <c r="M36" s="279"/>
      <c r="N36" s="280"/>
    </row>
    <row r="37" spans="1:14" s="273" customFormat="1" ht="27" customHeight="1" thickBot="1" x14ac:dyDescent="0.45">
      <c r="A37" s="286" t="s">
        <v>61</v>
      </c>
      <c r="B37" s="287">
        <v>1</v>
      </c>
      <c r="C37" s="288" t="s">
        <v>62</v>
      </c>
      <c r="D37" s="289" t="s">
        <v>63</v>
      </c>
      <c r="E37" s="290" t="s">
        <v>64</v>
      </c>
      <c r="F37" s="289" t="s">
        <v>63</v>
      </c>
      <c r="G37" s="291" t="s">
        <v>64</v>
      </c>
      <c r="I37" s="292" t="s">
        <v>65</v>
      </c>
      <c r="J37" s="274"/>
      <c r="K37" s="274"/>
      <c r="L37" s="279"/>
      <c r="M37" s="279"/>
      <c r="N37" s="280"/>
    </row>
    <row r="38" spans="1:14" s="273" customFormat="1" ht="26.25" customHeight="1" x14ac:dyDescent="0.4">
      <c r="A38" s="286" t="s">
        <v>66</v>
      </c>
      <c r="B38" s="287">
        <v>1</v>
      </c>
      <c r="C38" s="293">
        <v>1</v>
      </c>
      <c r="D38" s="294">
        <v>21674317</v>
      </c>
      <c r="E38" s="295">
        <f>IF(ISBLANK(D38),"-",$D$48/$D$45*D38)</f>
        <v>20146342.812327534</v>
      </c>
      <c r="F38" s="294">
        <v>20681768</v>
      </c>
      <c r="G38" s="296">
        <f>IF(ISBLANK(F38),"-",$D$48/$F$45*F38)</f>
        <v>20126551.907443289</v>
      </c>
      <c r="I38" s="297"/>
      <c r="J38" s="274"/>
      <c r="K38" s="274"/>
      <c r="L38" s="279"/>
      <c r="M38" s="279"/>
      <c r="N38" s="280"/>
    </row>
    <row r="39" spans="1:14" s="273" customFormat="1" ht="26.25" customHeight="1" x14ac:dyDescent="0.4">
      <c r="A39" s="286" t="s">
        <v>67</v>
      </c>
      <c r="B39" s="287">
        <v>1</v>
      </c>
      <c r="C39" s="298">
        <v>2</v>
      </c>
      <c r="D39" s="299">
        <v>21665103</v>
      </c>
      <c r="E39" s="300">
        <f>IF(ISBLANK(D39),"-",$D$48/$D$45*D39)</f>
        <v>20137778.371626921</v>
      </c>
      <c r="F39" s="299">
        <v>20681755</v>
      </c>
      <c r="G39" s="301">
        <f>IF(ISBLANK(F39),"-",$D$48/$F$45*F39)</f>
        <v>20126539.256437108</v>
      </c>
      <c r="I39" s="656">
        <f>ABS((F43/D43*D42)-F42)/D42</f>
        <v>6.2513027198285713E-4</v>
      </c>
      <c r="J39" s="274"/>
      <c r="K39" s="274"/>
      <c r="L39" s="279"/>
      <c r="M39" s="279"/>
      <c r="N39" s="280"/>
    </row>
    <row r="40" spans="1:14" ht="26.25" customHeight="1" x14ac:dyDescent="0.4">
      <c r="A40" s="286" t="s">
        <v>68</v>
      </c>
      <c r="B40" s="287">
        <v>1</v>
      </c>
      <c r="C40" s="298">
        <v>3</v>
      </c>
      <c r="D40" s="299">
        <v>21653799</v>
      </c>
      <c r="E40" s="300">
        <f>IF(ISBLANK(D40),"-",$D$48/$D$45*D40)</f>
        <v>20127271.269643012</v>
      </c>
      <c r="F40" s="299">
        <v>20673764</v>
      </c>
      <c r="G40" s="301">
        <f>IF(ISBLANK(F40),"-",$D$48/$F$45*F40)</f>
        <v>20118762.780253235</v>
      </c>
      <c r="I40" s="656"/>
      <c r="L40" s="279"/>
      <c r="M40" s="279"/>
      <c r="N40" s="259"/>
    </row>
    <row r="41" spans="1:14" ht="27" customHeight="1" thickBot="1" x14ac:dyDescent="0.45">
      <c r="A41" s="286" t="s">
        <v>69</v>
      </c>
      <c r="B41" s="287">
        <v>1</v>
      </c>
      <c r="C41" s="302">
        <v>4</v>
      </c>
      <c r="D41" s="303"/>
      <c r="E41" s="304" t="str">
        <f>IF(ISBLANK(D41),"-",$D$48/$D$45*D41)</f>
        <v>-</v>
      </c>
      <c r="F41" s="303"/>
      <c r="G41" s="305" t="str">
        <f>IF(ISBLANK(F41),"-",$D$48/$F$45*F41)</f>
        <v>-</v>
      </c>
      <c r="I41" s="306"/>
      <c r="L41" s="279"/>
      <c r="M41" s="279"/>
      <c r="N41" s="259"/>
    </row>
    <row r="42" spans="1:14" ht="27" customHeight="1" thickBot="1" x14ac:dyDescent="0.45">
      <c r="A42" s="286" t="s">
        <v>70</v>
      </c>
      <c r="B42" s="287">
        <v>1</v>
      </c>
      <c r="C42" s="307" t="s">
        <v>71</v>
      </c>
      <c r="D42" s="308">
        <f>AVERAGE(D38:D41)</f>
        <v>21664406.333333332</v>
      </c>
      <c r="E42" s="309">
        <f>AVERAGE(E38:E41)</f>
        <v>20137130.817865822</v>
      </c>
      <c r="F42" s="308">
        <f>AVERAGE(F38:F41)</f>
        <v>20679095.666666668</v>
      </c>
      <c r="G42" s="310">
        <f>AVERAGE(G38:G41)</f>
        <v>20123951.314711209</v>
      </c>
      <c r="H42" s="311"/>
    </row>
    <row r="43" spans="1:14" ht="26.25" customHeight="1" x14ac:dyDescent="0.4">
      <c r="A43" s="286" t="s">
        <v>72</v>
      </c>
      <c r="B43" s="287">
        <v>1</v>
      </c>
      <c r="C43" s="312" t="s">
        <v>73</v>
      </c>
      <c r="D43" s="313">
        <v>43.25</v>
      </c>
      <c r="E43" s="259"/>
      <c r="F43" s="313">
        <v>41.31</v>
      </c>
      <c r="H43" s="311"/>
    </row>
    <row r="44" spans="1:14" ht="26.25" customHeight="1" x14ac:dyDescent="0.4">
      <c r="A44" s="286" t="s">
        <v>74</v>
      </c>
      <c r="B44" s="287">
        <v>1</v>
      </c>
      <c r="C44" s="314" t="s">
        <v>75</v>
      </c>
      <c r="D44" s="315">
        <f>D43*$B$34</f>
        <v>43.25</v>
      </c>
      <c r="E44" s="316"/>
      <c r="F44" s="315">
        <f>F43*$B$34</f>
        <v>41.31</v>
      </c>
      <c r="H44" s="311"/>
    </row>
    <row r="45" spans="1:14" ht="19.5" customHeight="1" thickBot="1" x14ac:dyDescent="0.35">
      <c r="A45" s="286" t="s">
        <v>76</v>
      </c>
      <c r="B45" s="298">
        <f>(B44/B43)*(B42/B41)*(B40/B39)*(B38/B37)*B36</f>
        <v>100</v>
      </c>
      <c r="C45" s="314" t="s">
        <v>77</v>
      </c>
      <c r="D45" s="317">
        <f>D44*$B$30/100</f>
        <v>43.033749999999998</v>
      </c>
      <c r="E45" s="318"/>
      <c r="F45" s="317">
        <f>F44*$B$30/100</f>
        <v>41.103450000000002</v>
      </c>
      <c r="H45" s="311"/>
    </row>
    <row r="46" spans="1:14" ht="19.5" customHeight="1" thickBot="1" x14ac:dyDescent="0.35">
      <c r="A46" s="657" t="s">
        <v>78</v>
      </c>
      <c r="B46" s="658"/>
      <c r="C46" s="314" t="s">
        <v>79</v>
      </c>
      <c r="D46" s="319">
        <f>D45/$B$45</f>
        <v>0.43033749999999998</v>
      </c>
      <c r="E46" s="320"/>
      <c r="F46" s="321">
        <f>F45/$B$45</f>
        <v>0.41103450000000002</v>
      </c>
      <c r="H46" s="311"/>
    </row>
    <row r="47" spans="1:14" ht="27" customHeight="1" thickBot="1" x14ac:dyDescent="0.45">
      <c r="A47" s="659"/>
      <c r="B47" s="660"/>
      <c r="C47" s="322" t="s">
        <v>80</v>
      </c>
      <c r="D47" s="323">
        <v>0.4</v>
      </c>
      <c r="E47" s="324"/>
      <c r="F47" s="320"/>
      <c r="H47" s="311"/>
    </row>
    <row r="48" spans="1:14" ht="18.75" x14ac:dyDescent="0.3">
      <c r="C48" s="325" t="s">
        <v>81</v>
      </c>
      <c r="D48" s="317">
        <f>D47*$B$45</f>
        <v>40</v>
      </c>
      <c r="F48" s="326"/>
      <c r="H48" s="311"/>
    </row>
    <row r="49" spans="1:12" ht="19.5" customHeight="1" thickBot="1" x14ac:dyDescent="0.35">
      <c r="C49" s="327" t="s">
        <v>82</v>
      </c>
      <c r="D49" s="328">
        <f>D48/B34</f>
        <v>40</v>
      </c>
      <c r="F49" s="326"/>
      <c r="H49" s="311"/>
    </row>
    <row r="50" spans="1:12" ht="18.75" x14ac:dyDescent="0.3">
      <c r="C50" s="284" t="s">
        <v>83</v>
      </c>
      <c r="D50" s="329">
        <f>AVERAGE(E38:E41,G38:G41)</f>
        <v>20130541.066288516</v>
      </c>
      <c r="F50" s="330"/>
      <c r="H50" s="311"/>
    </row>
    <row r="51" spans="1:12" ht="18.75" x14ac:dyDescent="0.3">
      <c r="C51" s="286" t="s">
        <v>84</v>
      </c>
      <c r="D51" s="331">
        <f>STDEV(E38:E41,G38:G41)/D50</f>
        <v>4.8845258111315933E-4</v>
      </c>
      <c r="F51" s="330"/>
      <c r="H51" s="311"/>
    </row>
    <row r="52" spans="1:12" ht="19.5" customHeight="1" thickBot="1" x14ac:dyDescent="0.35">
      <c r="C52" s="332" t="s">
        <v>20</v>
      </c>
      <c r="D52" s="333">
        <f>COUNT(E38:E41,G38:G41)</f>
        <v>6</v>
      </c>
      <c r="F52" s="330"/>
    </row>
    <row r="54" spans="1:12" ht="18.75" x14ac:dyDescent="0.3">
      <c r="A54" s="334" t="s">
        <v>1</v>
      </c>
      <c r="B54" s="335" t="s">
        <v>85</v>
      </c>
    </row>
    <row r="55" spans="1:12" ht="18.75" x14ac:dyDescent="0.3">
      <c r="A55" s="259" t="s">
        <v>86</v>
      </c>
      <c r="B55" s="336" t="str">
        <f>B21</f>
        <v xml:space="preserve">Rifampicin 60mg, Isoniazid 30mg, Pyrazinamide 150mg 
</v>
      </c>
    </row>
    <row r="56" spans="1:12" ht="26.25" customHeight="1" x14ac:dyDescent="0.4">
      <c r="A56" s="336" t="s">
        <v>87</v>
      </c>
      <c r="B56" s="337">
        <v>150</v>
      </c>
      <c r="C56" s="259" t="str">
        <f>B20</f>
        <v xml:space="preserve">Rifampicin, Isoniazid, Pyrazinamide 
</v>
      </c>
      <c r="H56" s="316"/>
    </row>
    <row r="57" spans="1:12" ht="18.75" x14ac:dyDescent="0.3">
      <c r="A57" s="336" t="s">
        <v>88</v>
      </c>
      <c r="B57" s="338">
        <f>Uniformity!C46</f>
        <v>295.15250000000003</v>
      </c>
      <c r="H57" s="316"/>
    </row>
    <row r="58" spans="1:12" ht="19.5" customHeight="1" thickBot="1" x14ac:dyDescent="0.35">
      <c r="H58" s="316"/>
    </row>
    <row r="59" spans="1:12" s="273" customFormat="1" ht="27" customHeight="1" thickBot="1" x14ac:dyDescent="0.45">
      <c r="A59" s="284" t="s">
        <v>89</v>
      </c>
      <c r="B59" s="285">
        <v>100</v>
      </c>
      <c r="C59" s="259"/>
      <c r="D59" s="339" t="s">
        <v>90</v>
      </c>
      <c r="E59" s="340" t="s">
        <v>62</v>
      </c>
      <c r="F59" s="340" t="s">
        <v>63</v>
      </c>
      <c r="G59" s="340" t="s">
        <v>91</v>
      </c>
      <c r="H59" s="288" t="s">
        <v>92</v>
      </c>
      <c r="L59" s="274"/>
    </row>
    <row r="60" spans="1:12" s="273" customFormat="1" ht="26.25" customHeight="1" x14ac:dyDescent="0.4">
      <c r="A60" s="286" t="s">
        <v>93</v>
      </c>
      <c r="B60" s="287">
        <v>1</v>
      </c>
      <c r="C60" s="661" t="s">
        <v>94</v>
      </c>
      <c r="D60" s="664">
        <v>78.760000000000005</v>
      </c>
      <c r="E60" s="341">
        <v>1</v>
      </c>
      <c r="F60" s="342">
        <v>20559210</v>
      </c>
      <c r="G60" s="343">
        <f>IF(ISBLANK(F60),"-",(F60/$D$50*$D$47*$B$68)*($B$57/$D$60))</f>
        <v>153.09172783698742</v>
      </c>
      <c r="H60" s="344">
        <f t="shared" ref="H60:H71" si="0">IF(ISBLANK(F60),"-",G60/$B$56)</f>
        <v>1.0206115189132494</v>
      </c>
      <c r="L60" s="274"/>
    </row>
    <row r="61" spans="1:12" s="273" customFormat="1" ht="26.25" customHeight="1" x14ac:dyDescent="0.4">
      <c r="A61" s="286" t="s">
        <v>95</v>
      </c>
      <c r="B61" s="287">
        <v>1</v>
      </c>
      <c r="C61" s="662"/>
      <c r="D61" s="665"/>
      <c r="E61" s="345">
        <v>2</v>
      </c>
      <c r="F61" s="299">
        <v>20548928</v>
      </c>
      <c r="G61" s="346">
        <f>IF(ISBLANK(F61),"-",(F61/$D$50*$D$47*$B$68)*($B$57/$D$60))</f>
        <v>153.0151641389844</v>
      </c>
      <c r="H61" s="347">
        <f t="shared" si="0"/>
        <v>1.020101094259896</v>
      </c>
      <c r="L61" s="274"/>
    </row>
    <row r="62" spans="1:12" s="273" customFormat="1" ht="26.25" customHeight="1" x14ac:dyDescent="0.4">
      <c r="A62" s="286" t="s">
        <v>96</v>
      </c>
      <c r="B62" s="287">
        <v>1</v>
      </c>
      <c r="C62" s="662"/>
      <c r="D62" s="665"/>
      <c r="E62" s="345">
        <v>3</v>
      </c>
      <c r="F62" s="348">
        <v>20542555</v>
      </c>
      <c r="G62" s="346">
        <f>IF(ISBLANK(F62),"-",(F62/$D$50*$D$47*$B$68)*($B$57/$D$60))</f>
        <v>152.96770834756512</v>
      </c>
      <c r="H62" s="347">
        <f t="shared" si="0"/>
        <v>1.0197847223171008</v>
      </c>
      <c r="L62" s="274"/>
    </row>
    <row r="63" spans="1:12" ht="27" customHeight="1" thickBot="1" x14ac:dyDescent="0.45">
      <c r="A63" s="286" t="s">
        <v>97</v>
      </c>
      <c r="B63" s="287">
        <v>1</v>
      </c>
      <c r="C63" s="663"/>
      <c r="D63" s="666"/>
      <c r="E63" s="349">
        <v>4</v>
      </c>
      <c r="F63" s="350"/>
      <c r="G63" s="346" t="str">
        <f>IF(ISBLANK(F63),"-",(F63/$D$50*$D$47*$B$68)*($B$57/$D$60))</f>
        <v>-</v>
      </c>
      <c r="H63" s="347" t="str">
        <f t="shared" si="0"/>
        <v>-</v>
      </c>
    </row>
    <row r="64" spans="1:12" ht="26.25" customHeight="1" x14ac:dyDescent="0.4">
      <c r="A64" s="286" t="s">
        <v>98</v>
      </c>
      <c r="B64" s="287">
        <v>1</v>
      </c>
      <c r="C64" s="661" t="s">
        <v>99</v>
      </c>
      <c r="D64" s="664">
        <v>76.349999999999994</v>
      </c>
      <c r="E64" s="341">
        <v>1</v>
      </c>
      <c r="F64" s="342">
        <v>20058559</v>
      </c>
      <c r="G64" s="351">
        <f>IF(ISBLANK(F64),"-",(F64/$D$50*$D$47*$B$68)*($B$57/$D$64))</f>
        <v>154.07837814438824</v>
      </c>
      <c r="H64" s="352">
        <f t="shared" si="0"/>
        <v>1.0271891876292549</v>
      </c>
    </row>
    <row r="65" spans="1:8" ht="26.25" customHeight="1" x14ac:dyDescent="0.4">
      <c r="A65" s="286" t="s">
        <v>100</v>
      </c>
      <c r="B65" s="287">
        <v>1</v>
      </c>
      <c r="C65" s="662"/>
      <c r="D65" s="665"/>
      <c r="E65" s="345">
        <v>2</v>
      </c>
      <c r="F65" s="299">
        <v>20050595</v>
      </c>
      <c r="G65" s="353">
        <f>IF(ISBLANK(F65),"-",(F65/$D$50*$D$47*$B$68)*($B$57/$D$64))</f>
        <v>154.01720325123949</v>
      </c>
      <c r="H65" s="354">
        <f t="shared" si="0"/>
        <v>1.0267813550082634</v>
      </c>
    </row>
    <row r="66" spans="1:8" ht="26.25" customHeight="1" x14ac:dyDescent="0.4">
      <c r="A66" s="286" t="s">
        <v>101</v>
      </c>
      <c r="B66" s="287">
        <v>1</v>
      </c>
      <c r="C66" s="662"/>
      <c r="D66" s="665"/>
      <c r="E66" s="345">
        <v>3</v>
      </c>
      <c r="F66" s="299">
        <v>20052062</v>
      </c>
      <c r="G66" s="353">
        <f>IF(ISBLANK(F66),"-",(F66/$D$50*$D$47*$B$68)*($B$57/$D$64))</f>
        <v>154.02847190621807</v>
      </c>
      <c r="H66" s="354">
        <f t="shared" si="0"/>
        <v>1.0268564793747872</v>
      </c>
    </row>
    <row r="67" spans="1:8" ht="27" customHeight="1" thickBot="1" x14ac:dyDescent="0.45">
      <c r="A67" s="286" t="s">
        <v>102</v>
      </c>
      <c r="B67" s="287">
        <v>1</v>
      </c>
      <c r="C67" s="663"/>
      <c r="D67" s="666"/>
      <c r="E67" s="349">
        <v>4</v>
      </c>
      <c r="F67" s="350"/>
      <c r="G67" s="355" t="str">
        <f>IF(ISBLANK(F67),"-",(F67/$D$50*$D$47*$B$68)*($B$57/$D$64))</f>
        <v>-</v>
      </c>
      <c r="H67" s="356" t="str">
        <f t="shared" si="0"/>
        <v>-</v>
      </c>
    </row>
    <row r="68" spans="1:8" ht="26.25" customHeight="1" x14ac:dyDescent="0.4">
      <c r="A68" s="286" t="s">
        <v>103</v>
      </c>
      <c r="B68" s="357">
        <f>(B67/B66)*(B65/B64)*(B63/B62)*(B61/B60)*B59</f>
        <v>100</v>
      </c>
      <c r="C68" s="661" t="s">
        <v>104</v>
      </c>
      <c r="D68" s="664">
        <v>77.459999999999994</v>
      </c>
      <c r="E68" s="341">
        <v>1</v>
      </c>
      <c r="F68" s="342">
        <v>19544517</v>
      </c>
      <c r="G68" s="351">
        <f>IF(ISBLANK(F68),"-",(F68/$D$50*$D$47*$B$68)*($B$57/$D$68))</f>
        <v>147.97844492972138</v>
      </c>
      <c r="H68" s="347">
        <f t="shared" si="0"/>
        <v>0.9865229661981425</v>
      </c>
    </row>
    <row r="69" spans="1:8" ht="27" customHeight="1" thickBot="1" x14ac:dyDescent="0.45">
      <c r="A69" s="332" t="s">
        <v>105</v>
      </c>
      <c r="B69" s="358">
        <f>(D47*B68)/B56*B57</f>
        <v>78.707333333333338</v>
      </c>
      <c r="C69" s="662"/>
      <c r="D69" s="665"/>
      <c r="E69" s="345">
        <v>2</v>
      </c>
      <c r="F69" s="299">
        <v>19529669</v>
      </c>
      <c r="G69" s="353">
        <f>IF(ISBLANK(F69),"-",(F69/$D$50*$D$47*$B$68)*($B$57/$D$68))</f>
        <v>147.86602547467336</v>
      </c>
      <c r="H69" s="347">
        <f t="shared" si="0"/>
        <v>0.98577350316448908</v>
      </c>
    </row>
    <row r="70" spans="1:8" ht="26.25" customHeight="1" x14ac:dyDescent="0.4">
      <c r="A70" s="669" t="s">
        <v>78</v>
      </c>
      <c r="B70" s="670"/>
      <c r="C70" s="662"/>
      <c r="D70" s="665"/>
      <c r="E70" s="345">
        <v>3</v>
      </c>
      <c r="F70" s="299">
        <v>19532302</v>
      </c>
      <c r="G70" s="353">
        <f>IF(ISBLANK(F70),"-",(F70/$D$50*$D$47*$B$68)*($B$57/$D$68))</f>
        <v>147.88596084813386</v>
      </c>
      <c r="H70" s="347">
        <f t="shared" si="0"/>
        <v>0.98590640565422571</v>
      </c>
    </row>
    <row r="71" spans="1:8" ht="27" customHeight="1" thickBot="1" x14ac:dyDescent="0.45">
      <c r="A71" s="671"/>
      <c r="B71" s="672"/>
      <c r="C71" s="667"/>
      <c r="D71" s="666"/>
      <c r="E71" s="349">
        <v>4</v>
      </c>
      <c r="F71" s="350"/>
      <c r="G71" s="355" t="str">
        <f>IF(ISBLANK(F71),"-",(F71/$D$50*$D$47*$B$68)*($B$57/$D$68))</f>
        <v>-</v>
      </c>
      <c r="H71" s="359" t="str">
        <f t="shared" si="0"/>
        <v>-</v>
      </c>
    </row>
    <row r="72" spans="1:8" ht="26.25" customHeight="1" x14ac:dyDescent="0.4">
      <c r="A72" s="316"/>
      <c r="B72" s="316"/>
      <c r="C72" s="316"/>
      <c r="D72" s="316"/>
      <c r="E72" s="316"/>
      <c r="F72" s="360" t="s">
        <v>71</v>
      </c>
      <c r="G72" s="361">
        <f>AVERAGE(G60:G71)</f>
        <v>151.65878720865683</v>
      </c>
      <c r="H72" s="362">
        <f>AVERAGE(H60:H71)</f>
        <v>1.0110585813910455</v>
      </c>
    </row>
    <row r="73" spans="1:8" ht="26.25" customHeight="1" x14ac:dyDescent="0.4">
      <c r="C73" s="316"/>
      <c r="D73" s="316"/>
      <c r="E73" s="316"/>
      <c r="F73" s="363" t="s">
        <v>84</v>
      </c>
      <c r="G73" s="364">
        <f>STDEV(G60:G71)/G72</f>
        <v>1.8766498688533518E-2</v>
      </c>
      <c r="H73" s="364">
        <f>STDEV(H60:H71)/H72</f>
        <v>1.8766498688533542E-2</v>
      </c>
    </row>
    <row r="74" spans="1:8" ht="27" customHeight="1" thickBot="1" x14ac:dyDescent="0.45">
      <c r="A74" s="316"/>
      <c r="B74" s="316"/>
      <c r="C74" s="316"/>
      <c r="D74" s="316"/>
      <c r="E74" s="318"/>
      <c r="F74" s="365" t="s">
        <v>20</v>
      </c>
      <c r="G74" s="366">
        <f>COUNT(G60:G71)</f>
        <v>9</v>
      </c>
      <c r="H74" s="366">
        <f>COUNT(H60:H71)</f>
        <v>9</v>
      </c>
    </row>
    <row r="76" spans="1:8" ht="26.25" customHeight="1" x14ac:dyDescent="0.4">
      <c r="A76" s="269" t="s">
        <v>106</v>
      </c>
      <c r="B76" s="270" t="s">
        <v>107</v>
      </c>
      <c r="C76" s="673" t="str">
        <f>B20</f>
        <v xml:space="preserve">Rifampicin, Isoniazid, Pyrazinamide 
</v>
      </c>
      <c r="D76" s="673"/>
      <c r="E76" s="259" t="s">
        <v>108</v>
      </c>
      <c r="F76" s="259"/>
      <c r="G76" s="367">
        <f>H72</f>
        <v>1.0110585813910455</v>
      </c>
      <c r="H76" s="275"/>
    </row>
    <row r="77" spans="1:8" ht="18.75" x14ac:dyDescent="0.3">
      <c r="A77" s="268" t="s">
        <v>109</v>
      </c>
      <c r="B77" s="268" t="s">
        <v>110</v>
      </c>
    </row>
    <row r="78" spans="1:8" ht="18.75" x14ac:dyDescent="0.3">
      <c r="A78" s="268"/>
      <c r="B78" s="268"/>
    </row>
    <row r="79" spans="1:8" ht="26.25" customHeight="1" x14ac:dyDescent="0.4">
      <c r="A79" s="269" t="s">
        <v>4</v>
      </c>
      <c r="B79" s="668" t="str">
        <f>B26</f>
        <v>Pyrazinamide</v>
      </c>
      <c r="C79" s="668"/>
    </row>
    <row r="80" spans="1:8" ht="26.25" customHeight="1" x14ac:dyDescent="0.4">
      <c r="A80" s="270" t="s">
        <v>48</v>
      </c>
      <c r="B80" s="668" t="str">
        <f>B27</f>
        <v>P19-1</v>
      </c>
      <c r="C80" s="668"/>
    </row>
    <row r="81" spans="1:12" ht="27" customHeight="1" thickBot="1" x14ac:dyDescent="0.45">
      <c r="A81" s="270" t="s">
        <v>6</v>
      </c>
      <c r="B81" s="271">
        <f>B28</f>
        <v>99.5</v>
      </c>
    </row>
    <row r="82" spans="1:12" s="273" customFormat="1" ht="27" customHeight="1" thickBot="1" x14ac:dyDescent="0.45">
      <c r="A82" s="270" t="s">
        <v>49</v>
      </c>
      <c r="B82" s="272">
        <v>0</v>
      </c>
      <c r="C82" s="650" t="s">
        <v>50</v>
      </c>
      <c r="D82" s="651"/>
      <c r="E82" s="651"/>
      <c r="F82" s="651"/>
      <c r="G82" s="652"/>
      <c r="I82" s="274"/>
      <c r="J82" s="274"/>
      <c r="K82" s="274"/>
      <c r="L82" s="274"/>
    </row>
    <row r="83" spans="1:12" s="273" customFormat="1" ht="19.5" customHeight="1" thickBot="1" x14ac:dyDescent="0.35">
      <c r="A83" s="270" t="s">
        <v>51</v>
      </c>
      <c r="B83" s="275">
        <f>B81-B82</f>
        <v>99.5</v>
      </c>
      <c r="C83" s="276"/>
      <c r="D83" s="276"/>
      <c r="E83" s="276"/>
      <c r="F83" s="276"/>
      <c r="G83" s="277"/>
      <c r="I83" s="274"/>
      <c r="J83" s="274"/>
      <c r="K83" s="274"/>
      <c r="L83" s="274"/>
    </row>
    <row r="84" spans="1:12" s="273" customFormat="1" ht="27" customHeight="1" thickBot="1" x14ac:dyDescent="0.45">
      <c r="A84" s="270" t="s">
        <v>52</v>
      </c>
      <c r="B84" s="278">
        <v>1</v>
      </c>
      <c r="C84" s="638" t="s">
        <v>111</v>
      </c>
      <c r="D84" s="639"/>
      <c r="E84" s="639"/>
      <c r="F84" s="639"/>
      <c r="G84" s="639"/>
      <c r="H84" s="640"/>
      <c r="I84" s="274"/>
      <c r="J84" s="274"/>
      <c r="K84" s="274"/>
      <c r="L84" s="274"/>
    </row>
    <row r="85" spans="1:12" s="273" customFormat="1" ht="27" customHeight="1" thickBot="1" x14ac:dyDescent="0.45">
      <c r="A85" s="270" t="s">
        <v>54</v>
      </c>
      <c r="B85" s="278">
        <v>1</v>
      </c>
      <c r="C85" s="638" t="s">
        <v>112</v>
      </c>
      <c r="D85" s="639"/>
      <c r="E85" s="639"/>
      <c r="F85" s="639"/>
      <c r="G85" s="639"/>
      <c r="H85" s="640"/>
      <c r="I85" s="274"/>
      <c r="J85" s="274"/>
      <c r="K85" s="274"/>
      <c r="L85" s="274"/>
    </row>
    <row r="86" spans="1:12" s="273" customFormat="1" ht="18.75" x14ac:dyDescent="0.3">
      <c r="A86" s="270"/>
      <c r="B86" s="281"/>
      <c r="C86" s="282"/>
      <c r="D86" s="282"/>
      <c r="E86" s="282"/>
      <c r="F86" s="282"/>
      <c r="G86" s="282"/>
      <c r="H86" s="282"/>
      <c r="I86" s="274"/>
      <c r="J86" s="274"/>
      <c r="K86" s="274"/>
      <c r="L86" s="274"/>
    </row>
    <row r="87" spans="1:12" s="273" customFormat="1" ht="18.75" x14ac:dyDescent="0.3">
      <c r="A87" s="270" t="s">
        <v>56</v>
      </c>
      <c r="B87" s="283">
        <f>B84/B85</f>
        <v>1</v>
      </c>
      <c r="C87" s="259" t="s">
        <v>57</v>
      </c>
      <c r="D87" s="259"/>
      <c r="E87" s="259"/>
      <c r="F87" s="259"/>
      <c r="G87" s="259"/>
      <c r="I87" s="274"/>
      <c r="J87" s="274"/>
      <c r="K87" s="274"/>
      <c r="L87" s="274"/>
    </row>
    <row r="88" spans="1:12" ht="19.5" customHeight="1" thickBot="1" x14ac:dyDescent="0.35">
      <c r="A88" s="268"/>
      <c r="B88" s="268"/>
    </row>
    <row r="89" spans="1:12" ht="27" customHeight="1" thickBot="1" x14ac:dyDescent="0.45">
      <c r="A89" s="284" t="s">
        <v>58</v>
      </c>
      <c r="B89" s="285">
        <v>100</v>
      </c>
      <c r="D89" s="368" t="s">
        <v>59</v>
      </c>
      <c r="E89" s="369"/>
      <c r="F89" s="653" t="s">
        <v>60</v>
      </c>
      <c r="G89" s="655"/>
    </row>
    <row r="90" spans="1:12" ht="27" customHeight="1" thickBot="1" x14ac:dyDescent="0.45">
      <c r="A90" s="286" t="s">
        <v>61</v>
      </c>
      <c r="B90" s="287">
        <v>10</v>
      </c>
      <c r="C90" s="370" t="s">
        <v>62</v>
      </c>
      <c r="D90" s="289" t="s">
        <v>63</v>
      </c>
      <c r="E90" s="290" t="s">
        <v>64</v>
      </c>
      <c r="F90" s="289" t="s">
        <v>63</v>
      </c>
      <c r="G90" s="371" t="s">
        <v>64</v>
      </c>
      <c r="I90" s="292" t="s">
        <v>65</v>
      </c>
    </row>
    <row r="91" spans="1:12" ht="26.25" customHeight="1" x14ac:dyDescent="0.4">
      <c r="A91" s="286" t="s">
        <v>66</v>
      </c>
      <c r="B91" s="287">
        <v>25</v>
      </c>
      <c r="C91" s="372">
        <v>1</v>
      </c>
      <c r="D91" s="294">
        <v>8746067</v>
      </c>
      <c r="E91" s="295">
        <f>IF(ISBLANK(D91),"-",$D$101/$D$98*D91)</f>
        <v>8468224.5524346214</v>
      </c>
      <c r="F91" s="294">
        <v>8335845</v>
      </c>
      <c r="G91" s="296">
        <f>IF(ISBLANK(F91),"-",$D$101/$F$98*F91)</f>
        <v>8450066.2353160121</v>
      </c>
      <c r="I91" s="297"/>
    </row>
    <row r="92" spans="1:12" ht="26.25" customHeight="1" x14ac:dyDescent="0.4">
      <c r="A92" s="286" t="s">
        <v>67</v>
      </c>
      <c r="B92" s="287">
        <v>1</v>
      </c>
      <c r="C92" s="316">
        <v>2</v>
      </c>
      <c r="D92" s="299">
        <v>8777847</v>
      </c>
      <c r="E92" s="300">
        <f>IF(ISBLANK(D92),"-",$D$101/$D$98*D92)</f>
        <v>8498994.9748743717</v>
      </c>
      <c r="F92" s="299">
        <v>8332573</v>
      </c>
      <c r="G92" s="301">
        <f>IF(ISBLANK(F92),"-",$D$101/$F$98*F92)</f>
        <v>8446749.4010032397</v>
      </c>
      <c r="I92" s="656">
        <f>ABS((F96/D96*D95)-F95)/D95</f>
        <v>2.121980535110703E-3</v>
      </c>
    </row>
    <row r="93" spans="1:12" ht="26.25" customHeight="1" x14ac:dyDescent="0.4">
      <c r="A93" s="286" t="s">
        <v>68</v>
      </c>
      <c r="B93" s="287">
        <v>1</v>
      </c>
      <c r="C93" s="316">
        <v>3</v>
      </c>
      <c r="D93" s="299">
        <v>8728414</v>
      </c>
      <c r="E93" s="300">
        <f>IF(ISBLANK(D93),"-",$D$101/$D$98*D93)</f>
        <v>8451132.3476728536</v>
      </c>
      <c r="F93" s="299">
        <v>8350642</v>
      </c>
      <c r="G93" s="301">
        <f>IF(ISBLANK(F93),"-",$D$101/$F$98*F93)</f>
        <v>8465065.9900000263</v>
      </c>
      <c r="I93" s="656"/>
    </row>
    <row r="94" spans="1:12" ht="27" customHeight="1" thickBot="1" x14ac:dyDescent="0.45">
      <c r="A94" s="286" t="s">
        <v>69</v>
      </c>
      <c r="B94" s="287">
        <v>1</v>
      </c>
      <c r="C94" s="373">
        <v>4</v>
      </c>
      <c r="D94" s="303"/>
      <c r="E94" s="304" t="str">
        <f>IF(ISBLANK(D94),"-",$D$101/$D$98*D94)</f>
        <v>-</v>
      </c>
      <c r="F94" s="374"/>
      <c r="G94" s="305" t="str">
        <f>IF(ISBLANK(F94),"-",$D$101/$F$98*F94)</f>
        <v>-</v>
      </c>
      <c r="I94" s="306"/>
    </row>
    <row r="95" spans="1:12" ht="27" customHeight="1" thickBot="1" x14ac:dyDescent="0.45">
      <c r="A95" s="286" t="s">
        <v>70</v>
      </c>
      <c r="B95" s="287">
        <v>1</v>
      </c>
      <c r="C95" s="270" t="s">
        <v>71</v>
      </c>
      <c r="D95" s="375">
        <f>AVERAGE(D91:D94)</f>
        <v>8750776</v>
      </c>
      <c r="E95" s="309">
        <f>AVERAGE(E91:E94)</f>
        <v>8472783.9583272822</v>
      </c>
      <c r="F95" s="376">
        <f>AVERAGE(F91:F94)</f>
        <v>8339686.666666667</v>
      </c>
      <c r="G95" s="377">
        <f>AVERAGE(G91:G94)</f>
        <v>8453960.5421064254</v>
      </c>
    </row>
    <row r="96" spans="1:12" ht="26.25" customHeight="1" x14ac:dyDescent="0.4">
      <c r="A96" s="286" t="s">
        <v>72</v>
      </c>
      <c r="B96" s="271">
        <v>1</v>
      </c>
      <c r="C96" s="378" t="s">
        <v>113</v>
      </c>
      <c r="D96" s="379">
        <v>43.25</v>
      </c>
      <c r="E96" s="259"/>
      <c r="F96" s="313">
        <v>41.31</v>
      </c>
    </row>
    <row r="97" spans="1:10" ht="26.25" customHeight="1" x14ac:dyDescent="0.4">
      <c r="A97" s="286" t="s">
        <v>74</v>
      </c>
      <c r="B97" s="271">
        <v>1</v>
      </c>
      <c r="C97" s="380" t="s">
        <v>114</v>
      </c>
      <c r="D97" s="381">
        <f>D96*$B$87</f>
        <v>43.25</v>
      </c>
      <c r="E97" s="316"/>
      <c r="F97" s="315">
        <f>F96*$B$87</f>
        <v>41.31</v>
      </c>
    </row>
    <row r="98" spans="1:10" ht="19.5" customHeight="1" thickBot="1" x14ac:dyDescent="0.35">
      <c r="A98" s="286" t="s">
        <v>76</v>
      </c>
      <c r="B98" s="316">
        <f>(B97/B96)*(B95/B94)*(B93/B92)*(B91/B90)*B89</f>
        <v>250</v>
      </c>
      <c r="C98" s="380" t="s">
        <v>115</v>
      </c>
      <c r="D98" s="382">
        <f>D97*$B$83/100</f>
        <v>43.033749999999998</v>
      </c>
      <c r="E98" s="318"/>
      <c r="F98" s="317">
        <f>F97*$B$83/100</f>
        <v>41.103450000000002</v>
      </c>
    </row>
    <row r="99" spans="1:10" ht="19.5" customHeight="1" thickBot="1" x14ac:dyDescent="0.35">
      <c r="A99" s="657" t="s">
        <v>78</v>
      </c>
      <c r="B99" s="674"/>
      <c r="C99" s="380" t="s">
        <v>116</v>
      </c>
      <c r="D99" s="383">
        <f>D98/$B$98</f>
        <v>0.17213499999999998</v>
      </c>
      <c r="E99" s="318"/>
      <c r="F99" s="321">
        <f>F98/$B$98</f>
        <v>0.1644138</v>
      </c>
      <c r="H99" s="311"/>
    </row>
    <row r="100" spans="1:10" ht="19.5" customHeight="1" thickBot="1" x14ac:dyDescent="0.35">
      <c r="A100" s="659"/>
      <c r="B100" s="675"/>
      <c r="C100" s="380" t="s">
        <v>80</v>
      </c>
      <c r="D100" s="384">
        <f>$B$56/$B$116</f>
        <v>0.16666666666666666</v>
      </c>
      <c r="F100" s="326"/>
      <c r="G100" s="385"/>
      <c r="H100" s="311"/>
    </row>
    <row r="101" spans="1:10" ht="18.75" x14ac:dyDescent="0.3">
      <c r="C101" s="380" t="s">
        <v>81</v>
      </c>
      <c r="D101" s="381">
        <f>D100*$B$98</f>
        <v>41.666666666666664</v>
      </c>
      <c r="F101" s="326"/>
      <c r="H101" s="311"/>
    </row>
    <row r="102" spans="1:10" ht="19.5" customHeight="1" thickBot="1" x14ac:dyDescent="0.35">
      <c r="C102" s="386" t="s">
        <v>82</v>
      </c>
      <c r="D102" s="387">
        <f>D101/B34</f>
        <v>41.666666666666664</v>
      </c>
      <c r="F102" s="330"/>
      <c r="H102" s="311"/>
      <c r="J102" s="388"/>
    </row>
    <row r="103" spans="1:10" ht="18.75" x14ac:dyDescent="0.3">
      <c r="C103" s="389" t="s">
        <v>117</v>
      </c>
      <c r="D103" s="390">
        <f>AVERAGE(E91:E94,G91:G94)</f>
        <v>8463372.2502168547</v>
      </c>
      <c r="F103" s="330"/>
      <c r="G103" s="385"/>
      <c r="H103" s="311"/>
      <c r="J103" s="391"/>
    </row>
    <row r="104" spans="1:10" ht="18.75" x14ac:dyDescent="0.3">
      <c r="C104" s="363" t="s">
        <v>84</v>
      </c>
      <c r="D104" s="392">
        <f>STDEV(E91:E94,G91:G94)/D103</f>
        <v>2.3024255781665783E-3</v>
      </c>
      <c r="F104" s="330"/>
      <c r="H104" s="311"/>
      <c r="J104" s="391"/>
    </row>
    <row r="105" spans="1:10" ht="19.5" customHeight="1" thickBot="1" x14ac:dyDescent="0.35">
      <c r="C105" s="365" t="s">
        <v>20</v>
      </c>
      <c r="D105" s="393">
        <f>COUNT(E91:E94,G91:G94)</f>
        <v>6</v>
      </c>
      <c r="F105" s="330"/>
      <c r="H105" s="311"/>
      <c r="J105" s="391"/>
    </row>
    <row r="106" spans="1:10" ht="19.5" customHeight="1" thickBot="1" x14ac:dyDescent="0.35">
      <c r="A106" s="334"/>
      <c r="B106" s="334"/>
      <c r="C106" s="334"/>
      <c r="D106" s="334"/>
      <c r="E106" s="334"/>
    </row>
    <row r="107" spans="1:10" ht="26.25" customHeight="1" x14ac:dyDescent="0.4">
      <c r="A107" s="284" t="s">
        <v>118</v>
      </c>
      <c r="B107" s="285">
        <v>900</v>
      </c>
      <c r="C107" s="368" t="s">
        <v>119</v>
      </c>
      <c r="D107" s="394" t="s">
        <v>63</v>
      </c>
      <c r="E107" s="395" t="s">
        <v>120</v>
      </c>
      <c r="F107" s="396" t="s">
        <v>121</v>
      </c>
    </row>
    <row r="108" spans="1:10" ht="26.25" customHeight="1" x14ac:dyDescent="0.4">
      <c r="A108" s="286" t="s">
        <v>122</v>
      </c>
      <c r="B108" s="287">
        <v>1</v>
      </c>
      <c r="C108" s="397">
        <v>1</v>
      </c>
      <c r="D108" s="398">
        <v>8266741</v>
      </c>
      <c r="E108" s="399">
        <f t="shared" ref="E108:E113" si="1">IF(ISBLANK(D108),"-",D108/$D$103*$D$100*$B$116)</f>
        <v>146.51501946735564</v>
      </c>
      <c r="F108" s="400">
        <f t="shared" ref="F108:F113" si="2">IF(ISBLANK(D108), "-", E108/$B$56)</f>
        <v>0.97676679644903763</v>
      </c>
    </row>
    <row r="109" spans="1:10" ht="26.25" customHeight="1" x14ac:dyDescent="0.4">
      <c r="A109" s="286" t="s">
        <v>95</v>
      </c>
      <c r="B109" s="287">
        <v>1</v>
      </c>
      <c r="C109" s="397">
        <v>2</v>
      </c>
      <c r="D109" s="398">
        <v>7949173</v>
      </c>
      <c r="E109" s="401">
        <f t="shared" si="1"/>
        <v>140.88662471031543</v>
      </c>
      <c r="F109" s="402">
        <f t="shared" si="2"/>
        <v>0.93924416473543626</v>
      </c>
    </row>
    <row r="110" spans="1:10" ht="26.25" customHeight="1" x14ac:dyDescent="0.4">
      <c r="A110" s="286" t="s">
        <v>96</v>
      </c>
      <c r="B110" s="287">
        <v>1</v>
      </c>
      <c r="C110" s="397">
        <v>3</v>
      </c>
      <c r="D110" s="398">
        <v>8145088</v>
      </c>
      <c r="E110" s="401">
        <f t="shared" si="1"/>
        <v>144.35891083116366</v>
      </c>
      <c r="F110" s="402">
        <f t="shared" si="2"/>
        <v>0.96239273887442434</v>
      </c>
    </row>
    <row r="111" spans="1:10" ht="26.25" customHeight="1" x14ac:dyDescent="0.4">
      <c r="A111" s="286" t="s">
        <v>97</v>
      </c>
      <c r="B111" s="287">
        <v>1</v>
      </c>
      <c r="C111" s="397">
        <v>4</v>
      </c>
      <c r="D111" s="398">
        <v>7868622</v>
      </c>
      <c r="E111" s="401">
        <f t="shared" si="1"/>
        <v>139.45898456371899</v>
      </c>
      <c r="F111" s="402">
        <f t="shared" si="2"/>
        <v>0.92972656375812657</v>
      </c>
    </row>
    <row r="112" spans="1:10" ht="26.25" customHeight="1" x14ac:dyDescent="0.4">
      <c r="A112" s="286" t="s">
        <v>98</v>
      </c>
      <c r="B112" s="287">
        <v>1</v>
      </c>
      <c r="C112" s="397">
        <v>5</v>
      </c>
      <c r="D112" s="398">
        <v>7859857</v>
      </c>
      <c r="E112" s="401">
        <f t="shared" si="1"/>
        <v>139.30363868489789</v>
      </c>
      <c r="F112" s="402">
        <f t="shared" si="2"/>
        <v>0.9286909245659859</v>
      </c>
    </row>
    <row r="113" spans="1:10" ht="26.25" customHeight="1" x14ac:dyDescent="0.4">
      <c r="A113" s="286" t="s">
        <v>100</v>
      </c>
      <c r="B113" s="287">
        <v>1</v>
      </c>
      <c r="C113" s="403">
        <v>6</v>
      </c>
      <c r="D113" s="404">
        <v>8062817</v>
      </c>
      <c r="E113" s="405">
        <f t="shared" si="1"/>
        <v>142.90078638204901</v>
      </c>
      <c r="F113" s="406">
        <f t="shared" si="2"/>
        <v>0.95267190921366007</v>
      </c>
    </row>
    <row r="114" spans="1:10" ht="26.25" customHeight="1" x14ac:dyDescent="0.4">
      <c r="A114" s="286" t="s">
        <v>101</v>
      </c>
      <c r="B114" s="287">
        <v>1</v>
      </c>
      <c r="C114" s="397"/>
      <c r="D114" s="316"/>
      <c r="E114" s="259"/>
      <c r="F114" s="407"/>
    </row>
    <row r="115" spans="1:10" ht="26.25" customHeight="1" x14ac:dyDescent="0.4">
      <c r="A115" s="286" t="s">
        <v>102</v>
      </c>
      <c r="B115" s="287">
        <v>1</v>
      </c>
      <c r="C115" s="397"/>
      <c r="D115" s="408" t="s">
        <v>71</v>
      </c>
      <c r="E115" s="409">
        <f>AVERAGE(E108:E113)</f>
        <v>142.23732743991675</v>
      </c>
      <c r="F115" s="410">
        <f>AVERAGE(F108:F113)</f>
        <v>0.94824884959944511</v>
      </c>
    </row>
    <row r="116" spans="1:10" ht="27" customHeight="1" thickBot="1" x14ac:dyDescent="0.45">
      <c r="A116" s="286" t="s">
        <v>103</v>
      </c>
      <c r="B116" s="298">
        <f>(B115/B114)*(B113/B112)*(B111/B110)*(B109/B108)*B107</f>
        <v>900</v>
      </c>
      <c r="C116" s="411"/>
      <c r="D116" s="270" t="s">
        <v>84</v>
      </c>
      <c r="E116" s="412">
        <f>STDEV(E108:E113)/E115</f>
        <v>2.0227836770648884E-2</v>
      </c>
      <c r="F116" s="412">
        <f>STDEV(F108:F113)/F115</f>
        <v>2.0227836770648884E-2</v>
      </c>
      <c r="I116" s="259"/>
    </row>
    <row r="117" spans="1:10" ht="27" customHeight="1" thickBot="1" x14ac:dyDescent="0.45">
      <c r="A117" s="657" t="s">
        <v>78</v>
      </c>
      <c r="B117" s="658"/>
      <c r="C117" s="413"/>
      <c r="D117" s="414" t="s">
        <v>20</v>
      </c>
      <c r="E117" s="415">
        <f>COUNT(E108:E113)</f>
        <v>6</v>
      </c>
      <c r="F117" s="415">
        <f>COUNT(F108:F113)</f>
        <v>6</v>
      </c>
      <c r="I117" s="259"/>
      <c r="J117" s="391"/>
    </row>
    <row r="118" spans="1:10" ht="19.5" customHeight="1" thickBot="1" x14ac:dyDescent="0.35">
      <c r="A118" s="659"/>
      <c r="B118" s="660"/>
      <c r="C118" s="259"/>
      <c r="D118" s="259"/>
      <c r="E118" s="259"/>
      <c r="F118" s="316"/>
      <c r="G118" s="259"/>
      <c r="H118" s="259"/>
      <c r="I118" s="259"/>
    </row>
    <row r="119" spans="1:10" ht="18.75" x14ac:dyDescent="0.3">
      <c r="A119" s="416"/>
      <c r="B119" s="282"/>
      <c r="C119" s="259"/>
      <c r="D119" s="259"/>
      <c r="E119" s="259"/>
      <c r="F119" s="316"/>
      <c r="G119" s="259"/>
      <c r="H119" s="259"/>
      <c r="I119" s="259"/>
    </row>
    <row r="120" spans="1:10" ht="26.25" customHeight="1" x14ac:dyDescent="0.4">
      <c r="A120" s="269" t="s">
        <v>106</v>
      </c>
      <c r="B120" s="270" t="s">
        <v>123</v>
      </c>
      <c r="C120" s="673" t="str">
        <f>B20</f>
        <v xml:space="preserve">Rifampicin, Isoniazid, Pyrazinamide 
</v>
      </c>
      <c r="D120" s="673"/>
      <c r="E120" s="259" t="s">
        <v>124</v>
      </c>
      <c r="F120" s="259"/>
      <c r="G120" s="367">
        <f>F115</f>
        <v>0.94824884959944511</v>
      </c>
      <c r="H120" s="259"/>
      <c r="I120" s="259"/>
    </row>
    <row r="121" spans="1:10" ht="19.5" customHeight="1" thickBot="1" x14ac:dyDescent="0.35">
      <c r="A121" s="417"/>
      <c r="B121" s="417"/>
      <c r="C121" s="418"/>
      <c r="D121" s="418"/>
      <c r="E121" s="418"/>
      <c r="F121" s="418"/>
      <c r="G121" s="418"/>
      <c r="H121" s="418"/>
    </row>
    <row r="122" spans="1:10" ht="18.75" x14ac:dyDescent="0.3">
      <c r="B122" s="676" t="s">
        <v>26</v>
      </c>
      <c r="C122" s="676"/>
      <c r="E122" s="370" t="s">
        <v>27</v>
      </c>
      <c r="F122" s="419"/>
      <c r="G122" s="676" t="s">
        <v>28</v>
      </c>
      <c r="H122" s="676"/>
    </row>
    <row r="123" spans="1:10" ht="69.95" customHeight="1" x14ac:dyDescent="0.3">
      <c r="A123" s="269" t="s">
        <v>29</v>
      </c>
      <c r="B123" s="420"/>
      <c r="C123" s="420"/>
      <c r="E123" s="420"/>
      <c r="F123" s="259"/>
      <c r="G123" s="420"/>
      <c r="H123" s="420"/>
    </row>
    <row r="124" spans="1:10" ht="69.95" customHeight="1" x14ac:dyDescent="0.3">
      <c r="A124" s="269" t="s">
        <v>30</v>
      </c>
      <c r="B124" s="421"/>
      <c r="C124" s="421"/>
      <c r="E124" s="421"/>
      <c r="F124" s="259"/>
      <c r="G124" s="422"/>
      <c r="H124" s="422"/>
    </row>
    <row r="125" spans="1:10" ht="18.75" x14ac:dyDescent="0.3">
      <c r="A125" s="316"/>
      <c r="B125" s="316"/>
      <c r="C125" s="316"/>
      <c r="D125" s="316"/>
      <c r="E125" s="316"/>
      <c r="F125" s="318"/>
      <c r="G125" s="316"/>
      <c r="H125" s="316"/>
      <c r="I125" s="259"/>
    </row>
    <row r="126" spans="1:10" ht="18.75" x14ac:dyDescent="0.3">
      <c r="A126" s="316"/>
      <c r="B126" s="316"/>
      <c r="C126" s="316"/>
      <c r="D126" s="316"/>
      <c r="E126" s="316"/>
      <c r="F126" s="318"/>
      <c r="G126" s="316"/>
      <c r="H126" s="316"/>
      <c r="I126" s="259"/>
    </row>
    <row r="127" spans="1:10" ht="18.75" x14ac:dyDescent="0.3">
      <c r="A127" s="316"/>
      <c r="B127" s="316"/>
      <c r="C127" s="316"/>
      <c r="D127" s="316"/>
      <c r="E127" s="316"/>
      <c r="F127" s="318"/>
      <c r="G127" s="316"/>
      <c r="H127" s="316"/>
      <c r="I127" s="259"/>
    </row>
    <row r="128" spans="1:10" ht="18.75" x14ac:dyDescent="0.3">
      <c r="A128" s="316"/>
      <c r="B128" s="316"/>
      <c r="C128" s="316"/>
      <c r="D128" s="316"/>
      <c r="E128" s="316"/>
      <c r="F128" s="318"/>
      <c r="G128" s="316"/>
      <c r="H128" s="316"/>
      <c r="I128" s="259"/>
    </row>
    <row r="129" spans="1:9" ht="18.75" x14ac:dyDescent="0.3">
      <c r="A129" s="316"/>
      <c r="B129" s="316"/>
      <c r="C129" s="316"/>
      <c r="D129" s="316"/>
      <c r="E129" s="316"/>
      <c r="F129" s="318"/>
      <c r="G129" s="316"/>
      <c r="H129" s="316"/>
      <c r="I129" s="259"/>
    </row>
    <row r="130" spans="1:9" ht="18.75" x14ac:dyDescent="0.3">
      <c r="A130" s="316"/>
      <c r="B130" s="316"/>
      <c r="C130" s="316"/>
      <c r="D130" s="316"/>
      <c r="E130" s="316"/>
      <c r="F130" s="318"/>
      <c r="G130" s="316"/>
      <c r="H130" s="316"/>
      <c r="I130" s="259"/>
    </row>
    <row r="131" spans="1:9" ht="18.75" x14ac:dyDescent="0.3">
      <c r="A131" s="316"/>
      <c r="B131" s="316"/>
      <c r="C131" s="316"/>
      <c r="D131" s="316"/>
      <c r="E131" s="316"/>
      <c r="F131" s="318"/>
      <c r="G131" s="316"/>
      <c r="H131" s="316"/>
      <c r="I131" s="259"/>
    </row>
    <row r="132" spans="1:9" ht="18.75" x14ac:dyDescent="0.3">
      <c r="A132" s="316"/>
      <c r="B132" s="316"/>
      <c r="C132" s="316"/>
      <c r="D132" s="316"/>
      <c r="E132" s="316"/>
      <c r="F132" s="318"/>
      <c r="G132" s="316"/>
      <c r="H132" s="316"/>
      <c r="I132" s="259"/>
    </row>
    <row r="133" spans="1:9" ht="18.75" x14ac:dyDescent="0.3">
      <c r="A133" s="316"/>
      <c r="B133" s="316"/>
      <c r="C133" s="316"/>
      <c r="D133" s="316"/>
      <c r="E133" s="316"/>
      <c r="F133" s="318"/>
      <c r="G133" s="316"/>
      <c r="H133" s="316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4" zoomScale="55" zoomScaleNormal="40" zoomScalePageLayoutView="55" workbookViewId="0">
      <selection activeCell="D60" sqref="D60:D63"/>
    </sheetView>
  </sheetViews>
  <sheetFormatPr defaultColWidth="9.140625" defaultRowHeight="13.5" x14ac:dyDescent="0.25"/>
  <cols>
    <col min="1" max="1" width="55.42578125" style="423" customWidth="1"/>
    <col min="2" max="2" width="33.7109375" style="423" customWidth="1"/>
    <col min="3" max="3" width="42.28515625" style="423" customWidth="1"/>
    <col min="4" max="4" width="30.5703125" style="423" customWidth="1"/>
    <col min="5" max="5" width="39.85546875" style="423" customWidth="1"/>
    <col min="6" max="6" width="30.7109375" style="423" customWidth="1"/>
    <col min="7" max="7" width="39.85546875" style="423" customWidth="1"/>
    <col min="8" max="8" width="30" style="423" customWidth="1"/>
    <col min="9" max="9" width="30.28515625" style="423" hidden="1" customWidth="1"/>
    <col min="10" max="10" width="30.42578125" style="423" customWidth="1"/>
    <col min="11" max="11" width="21.28515625" style="423" customWidth="1"/>
    <col min="12" max="12" width="9.140625" style="423"/>
    <col min="13" max="16384" width="9.140625" style="425"/>
  </cols>
  <sheetData>
    <row r="1" spans="1:9" ht="18.75" customHeight="1" x14ac:dyDescent="0.25">
      <c r="A1" s="680" t="s">
        <v>45</v>
      </c>
      <c r="B1" s="680"/>
      <c r="C1" s="680"/>
      <c r="D1" s="680"/>
      <c r="E1" s="680"/>
      <c r="F1" s="680"/>
      <c r="G1" s="680"/>
      <c r="H1" s="680"/>
      <c r="I1" s="680"/>
    </row>
    <row r="2" spans="1:9" ht="18.75" customHeight="1" x14ac:dyDescent="0.25">
      <c r="A2" s="680"/>
      <c r="B2" s="680"/>
      <c r="C2" s="680"/>
      <c r="D2" s="680"/>
      <c r="E2" s="680"/>
      <c r="F2" s="680"/>
      <c r="G2" s="680"/>
      <c r="H2" s="680"/>
      <c r="I2" s="680"/>
    </row>
    <row r="3" spans="1:9" ht="18.75" customHeight="1" x14ac:dyDescent="0.25">
      <c r="A3" s="680"/>
      <c r="B3" s="680"/>
      <c r="C3" s="680"/>
      <c r="D3" s="680"/>
      <c r="E3" s="680"/>
      <c r="F3" s="680"/>
      <c r="G3" s="680"/>
      <c r="H3" s="680"/>
      <c r="I3" s="680"/>
    </row>
    <row r="4" spans="1:9" ht="18.75" customHeight="1" x14ac:dyDescent="0.25">
      <c r="A4" s="680"/>
      <c r="B4" s="680"/>
      <c r="C4" s="680"/>
      <c r="D4" s="680"/>
      <c r="E4" s="680"/>
      <c r="F4" s="680"/>
      <c r="G4" s="680"/>
      <c r="H4" s="680"/>
      <c r="I4" s="680"/>
    </row>
    <row r="5" spans="1:9" ht="18.75" customHeight="1" x14ac:dyDescent="0.25">
      <c r="A5" s="680"/>
      <c r="B5" s="680"/>
      <c r="C5" s="680"/>
      <c r="D5" s="680"/>
      <c r="E5" s="680"/>
      <c r="F5" s="680"/>
      <c r="G5" s="680"/>
      <c r="H5" s="680"/>
      <c r="I5" s="680"/>
    </row>
    <row r="6" spans="1:9" ht="18.75" customHeight="1" x14ac:dyDescent="0.25">
      <c r="A6" s="680"/>
      <c r="B6" s="680"/>
      <c r="C6" s="680"/>
      <c r="D6" s="680"/>
      <c r="E6" s="680"/>
      <c r="F6" s="680"/>
      <c r="G6" s="680"/>
      <c r="H6" s="680"/>
      <c r="I6" s="680"/>
    </row>
    <row r="7" spans="1:9" ht="18.75" customHeight="1" x14ac:dyDescent="0.25">
      <c r="A7" s="680"/>
      <c r="B7" s="680"/>
      <c r="C7" s="680"/>
      <c r="D7" s="680"/>
      <c r="E7" s="680"/>
      <c r="F7" s="680"/>
      <c r="G7" s="680"/>
      <c r="H7" s="680"/>
      <c r="I7" s="680"/>
    </row>
    <row r="8" spans="1:9" x14ac:dyDescent="0.25">
      <c r="A8" s="681" t="s">
        <v>46</v>
      </c>
      <c r="B8" s="681"/>
      <c r="C8" s="681"/>
      <c r="D8" s="681"/>
      <c r="E8" s="681"/>
      <c r="F8" s="681"/>
      <c r="G8" s="681"/>
      <c r="H8" s="681"/>
      <c r="I8" s="681"/>
    </row>
    <row r="9" spans="1:9" x14ac:dyDescent="0.25">
      <c r="A9" s="681"/>
      <c r="B9" s="681"/>
      <c r="C9" s="681"/>
      <c r="D9" s="681"/>
      <c r="E9" s="681"/>
      <c r="F9" s="681"/>
      <c r="G9" s="681"/>
      <c r="H9" s="681"/>
      <c r="I9" s="681"/>
    </row>
    <row r="10" spans="1:9" x14ac:dyDescent="0.25">
      <c r="A10" s="681"/>
      <c r="B10" s="681"/>
      <c r="C10" s="681"/>
      <c r="D10" s="681"/>
      <c r="E10" s="681"/>
      <c r="F10" s="681"/>
      <c r="G10" s="681"/>
      <c r="H10" s="681"/>
      <c r="I10" s="681"/>
    </row>
    <row r="11" spans="1:9" x14ac:dyDescent="0.25">
      <c r="A11" s="681"/>
      <c r="B11" s="681"/>
      <c r="C11" s="681"/>
      <c r="D11" s="681"/>
      <c r="E11" s="681"/>
      <c r="F11" s="681"/>
      <c r="G11" s="681"/>
      <c r="H11" s="681"/>
      <c r="I11" s="681"/>
    </row>
    <row r="12" spans="1:9" x14ac:dyDescent="0.25">
      <c r="A12" s="681"/>
      <c r="B12" s="681"/>
      <c r="C12" s="681"/>
      <c r="D12" s="681"/>
      <c r="E12" s="681"/>
      <c r="F12" s="681"/>
      <c r="G12" s="681"/>
      <c r="H12" s="681"/>
      <c r="I12" s="681"/>
    </row>
    <row r="13" spans="1:9" x14ac:dyDescent="0.25">
      <c r="A13" s="681"/>
      <c r="B13" s="681"/>
      <c r="C13" s="681"/>
      <c r="D13" s="681"/>
      <c r="E13" s="681"/>
      <c r="F13" s="681"/>
      <c r="G13" s="681"/>
      <c r="H13" s="681"/>
      <c r="I13" s="681"/>
    </row>
    <row r="14" spans="1:9" x14ac:dyDescent="0.25">
      <c r="A14" s="681"/>
      <c r="B14" s="681"/>
      <c r="C14" s="681"/>
      <c r="D14" s="681"/>
      <c r="E14" s="681"/>
      <c r="F14" s="681"/>
      <c r="G14" s="681"/>
      <c r="H14" s="681"/>
      <c r="I14" s="681"/>
    </row>
    <row r="15" spans="1:9" ht="19.5" customHeight="1" thickBot="1" x14ac:dyDescent="0.35">
      <c r="A15" s="424"/>
    </row>
    <row r="16" spans="1:9" ht="19.5" customHeight="1" thickBot="1" x14ac:dyDescent="0.35">
      <c r="A16" s="682" t="s">
        <v>31</v>
      </c>
      <c r="B16" s="683"/>
      <c r="C16" s="683"/>
      <c r="D16" s="683"/>
      <c r="E16" s="683"/>
      <c r="F16" s="683"/>
      <c r="G16" s="683"/>
      <c r="H16" s="684"/>
    </row>
    <row r="17" spans="1:14" ht="20.25" customHeight="1" x14ac:dyDescent="0.25">
      <c r="A17" s="685" t="s">
        <v>47</v>
      </c>
      <c r="B17" s="685"/>
      <c r="C17" s="685"/>
      <c r="D17" s="685"/>
      <c r="E17" s="685"/>
      <c r="F17" s="685"/>
      <c r="G17" s="685"/>
      <c r="H17" s="685"/>
    </row>
    <row r="18" spans="1:14" ht="26.25" customHeight="1" x14ac:dyDescent="0.4">
      <c r="A18" s="426" t="s">
        <v>33</v>
      </c>
      <c r="B18" s="686" t="s">
        <v>5</v>
      </c>
      <c r="C18" s="686"/>
      <c r="D18" s="427"/>
      <c r="E18" s="428"/>
      <c r="F18" s="429"/>
      <c r="G18" s="429"/>
      <c r="H18" s="429"/>
    </row>
    <row r="19" spans="1:14" ht="26.25" customHeight="1" x14ac:dyDescent="0.4">
      <c r="A19" s="426" t="s">
        <v>34</v>
      </c>
      <c r="B19" s="430" t="s">
        <v>7</v>
      </c>
      <c r="C19" s="429">
        <v>29</v>
      </c>
      <c r="D19" s="429"/>
      <c r="E19" s="429"/>
      <c r="F19" s="429"/>
      <c r="G19" s="429"/>
      <c r="H19" s="429"/>
    </row>
    <row r="20" spans="1:14" ht="26.25" customHeight="1" x14ac:dyDescent="0.4">
      <c r="A20" s="426" t="s">
        <v>35</v>
      </c>
      <c r="B20" s="687" t="s">
        <v>9</v>
      </c>
      <c r="C20" s="687"/>
      <c r="D20" s="429"/>
      <c r="E20" s="429"/>
      <c r="F20" s="429"/>
      <c r="G20" s="429"/>
      <c r="H20" s="429"/>
    </row>
    <row r="21" spans="1:14" ht="26.25" customHeight="1" x14ac:dyDescent="0.4">
      <c r="A21" s="426" t="s">
        <v>36</v>
      </c>
      <c r="B21" s="687" t="s">
        <v>11</v>
      </c>
      <c r="C21" s="687"/>
      <c r="D21" s="687"/>
      <c r="E21" s="687"/>
      <c r="F21" s="687"/>
      <c r="G21" s="687"/>
      <c r="H21" s="687"/>
      <c r="I21" s="431"/>
    </row>
    <row r="22" spans="1:14" ht="26.25" customHeight="1" x14ac:dyDescent="0.4">
      <c r="A22" s="426" t="s">
        <v>37</v>
      </c>
      <c r="B22" s="588">
        <v>42531.493668981479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6" t="s">
        <v>38</v>
      </c>
      <c r="B23" s="588">
        <v>42535.41033564815</v>
      </c>
      <c r="C23" s="429"/>
      <c r="D23" s="429"/>
      <c r="E23" s="429"/>
      <c r="F23" s="429"/>
      <c r="G23" s="429"/>
      <c r="H23" s="429"/>
    </row>
    <row r="24" spans="1:14" ht="18.75" x14ac:dyDescent="0.3">
      <c r="A24" s="426"/>
      <c r="B24" s="432"/>
    </row>
    <row r="25" spans="1:14" ht="18.75" x14ac:dyDescent="0.3">
      <c r="A25" s="433" t="s">
        <v>1</v>
      </c>
      <c r="B25" s="432"/>
    </row>
    <row r="26" spans="1:14" ht="26.25" customHeight="1" x14ac:dyDescent="0.4">
      <c r="A26" s="434" t="s">
        <v>4</v>
      </c>
      <c r="B26" s="686" t="s">
        <v>131</v>
      </c>
      <c r="C26" s="686"/>
    </row>
    <row r="27" spans="1:14" ht="26.25" customHeight="1" x14ac:dyDescent="0.4">
      <c r="A27" s="435" t="s">
        <v>48</v>
      </c>
      <c r="B27" s="688" t="s">
        <v>132</v>
      </c>
      <c r="C27" s="688"/>
    </row>
    <row r="28" spans="1:14" ht="27" customHeight="1" thickBot="1" x14ac:dyDescent="0.45">
      <c r="A28" s="435" t="s">
        <v>6</v>
      </c>
      <c r="B28" s="436">
        <v>99.6</v>
      </c>
    </row>
    <row r="29" spans="1:14" s="438" customFormat="1" ht="27" customHeight="1" thickBot="1" x14ac:dyDescent="0.45">
      <c r="A29" s="435" t="s">
        <v>49</v>
      </c>
      <c r="B29" s="437">
        <v>0</v>
      </c>
      <c r="C29" s="689" t="s">
        <v>50</v>
      </c>
      <c r="D29" s="690"/>
      <c r="E29" s="690"/>
      <c r="F29" s="690"/>
      <c r="G29" s="691"/>
      <c r="I29" s="439"/>
      <c r="J29" s="439"/>
      <c r="K29" s="439"/>
      <c r="L29" s="439"/>
    </row>
    <row r="30" spans="1:14" s="438" customFormat="1" ht="19.5" customHeight="1" thickBot="1" x14ac:dyDescent="0.35">
      <c r="A30" s="435" t="s">
        <v>51</v>
      </c>
      <c r="B30" s="440">
        <f>B28-B29</f>
        <v>99.6</v>
      </c>
      <c r="C30" s="441"/>
      <c r="D30" s="441"/>
      <c r="E30" s="441"/>
      <c r="F30" s="441"/>
      <c r="G30" s="442"/>
      <c r="I30" s="439"/>
      <c r="J30" s="439"/>
      <c r="K30" s="439"/>
      <c r="L30" s="439"/>
    </row>
    <row r="31" spans="1:14" s="438" customFormat="1" ht="27" customHeight="1" thickBot="1" x14ac:dyDescent="0.45">
      <c r="A31" s="435" t="s">
        <v>52</v>
      </c>
      <c r="B31" s="443">
        <v>1</v>
      </c>
      <c r="C31" s="677" t="s">
        <v>53</v>
      </c>
      <c r="D31" s="678"/>
      <c r="E31" s="678"/>
      <c r="F31" s="678"/>
      <c r="G31" s="678"/>
      <c r="H31" s="679"/>
      <c r="I31" s="439"/>
      <c r="J31" s="439"/>
      <c r="K31" s="439"/>
      <c r="L31" s="439"/>
    </row>
    <row r="32" spans="1:14" s="438" customFormat="1" ht="27" customHeight="1" thickBot="1" x14ac:dyDescent="0.45">
      <c r="A32" s="435" t="s">
        <v>54</v>
      </c>
      <c r="B32" s="443">
        <v>1</v>
      </c>
      <c r="C32" s="677" t="s">
        <v>55</v>
      </c>
      <c r="D32" s="678"/>
      <c r="E32" s="678"/>
      <c r="F32" s="678"/>
      <c r="G32" s="678"/>
      <c r="H32" s="679"/>
      <c r="I32" s="439"/>
      <c r="J32" s="439"/>
      <c r="K32" s="439"/>
      <c r="L32" s="444"/>
      <c r="M32" s="444"/>
      <c r="N32" s="445"/>
    </row>
    <row r="33" spans="1:14" s="438" customFormat="1" ht="17.25" customHeight="1" x14ac:dyDescent="0.3">
      <c r="A33" s="435"/>
      <c r="B33" s="446"/>
      <c r="C33" s="447"/>
      <c r="D33" s="447"/>
      <c r="E33" s="447"/>
      <c r="F33" s="447"/>
      <c r="G33" s="447"/>
      <c r="H33" s="447"/>
      <c r="I33" s="439"/>
      <c r="J33" s="439"/>
      <c r="K33" s="439"/>
      <c r="L33" s="444"/>
      <c r="M33" s="444"/>
      <c r="N33" s="445"/>
    </row>
    <row r="34" spans="1:14" s="438" customFormat="1" ht="18.75" x14ac:dyDescent="0.3">
      <c r="A34" s="435" t="s">
        <v>56</v>
      </c>
      <c r="B34" s="448">
        <f>B31/B32</f>
        <v>1</v>
      </c>
      <c r="C34" s="424" t="s">
        <v>57</v>
      </c>
      <c r="D34" s="424"/>
      <c r="E34" s="424"/>
      <c r="F34" s="424"/>
      <c r="G34" s="424"/>
      <c r="I34" s="439"/>
      <c r="J34" s="439"/>
      <c r="K34" s="439"/>
      <c r="L34" s="444"/>
      <c r="M34" s="444"/>
      <c r="N34" s="445"/>
    </row>
    <row r="35" spans="1:14" s="438" customFormat="1" ht="19.5" customHeight="1" thickBot="1" x14ac:dyDescent="0.35">
      <c r="A35" s="435"/>
      <c r="B35" s="440"/>
      <c r="G35" s="424"/>
      <c r="I35" s="439"/>
      <c r="J35" s="439"/>
      <c r="K35" s="439"/>
      <c r="L35" s="444"/>
      <c r="M35" s="444"/>
      <c r="N35" s="445"/>
    </row>
    <row r="36" spans="1:14" s="438" customFormat="1" ht="27" customHeight="1" thickBot="1" x14ac:dyDescent="0.45">
      <c r="A36" s="449" t="s">
        <v>58</v>
      </c>
      <c r="B36" s="450">
        <v>100</v>
      </c>
      <c r="C36" s="424"/>
      <c r="D36" s="692" t="s">
        <v>59</v>
      </c>
      <c r="E36" s="693"/>
      <c r="F36" s="692" t="s">
        <v>60</v>
      </c>
      <c r="G36" s="694"/>
      <c r="J36" s="439"/>
      <c r="K36" s="439"/>
      <c r="L36" s="444"/>
      <c r="M36" s="444"/>
      <c r="N36" s="445"/>
    </row>
    <row r="37" spans="1:14" s="438" customFormat="1" ht="27" customHeight="1" thickBot="1" x14ac:dyDescent="0.45">
      <c r="A37" s="451" t="s">
        <v>61</v>
      </c>
      <c r="B37" s="452">
        <v>1</v>
      </c>
      <c r="C37" s="453" t="s">
        <v>62</v>
      </c>
      <c r="D37" s="454" t="s">
        <v>63</v>
      </c>
      <c r="E37" s="455" t="s">
        <v>64</v>
      </c>
      <c r="F37" s="454" t="s">
        <v>63</v>
      </c>
      <c r="G37" s="456" t="s">
        <v>64</v>
      </c>
      <c r="I37" s="457" t="s">
        <v>65</v>
      </c>
      <c r="J37" s="439"/>
      <c r="K37" s="439"/>
      <c r="L37" s="444"/>
      <c r="M37" s="444"/>
      <c r="N37" s="445"/>
    </row>
    <row r="38" spans="1:14" s="438" customFormat="1" ht="26.25" customHeight="1" x14ac:dyDescent="0.4">
      <c r="A38" s="451" t="s">
        <v>66</v>
      </c>
      <c r="B38" s="452">
        <v>1</v>
      </c>
      <c r="C38" s="458">
        <v>1</v>
      </c>
      <c r="D38" s="459">
        <v>7530658</v>
      </c>
      <c r="E38" s="460">
        <f>IF(ISBLANK(D38),"-",$D$48/$D$45*D38)</f>
        <v>6811623.068851985</v>
      </c>
      <c r="F38" s="459">
        <v>6643464</v>
      </c>
      <c r="G38" s="461">
        <f>IF(ISBLANK(F38),"-",$D$48/$F$45*F38)</f>
        <v>6819317.1407675426</v>
      </c>
      <c r="I38" s="462"/>
      <c r="J38" s="439"/>
      <c r="K38" s="439"/>
      <c r="L38" s="444"/>
      <c r="M38" s="444"/>
      <c r="N38" s="445"/>
    </row>
    <row r="39" spans="1:14" s="438" customFormat="1" ht="26.25" customHeight="1" x14ac:dyDescent="0.4">
      <c r="A39" s="451" t="s">
        <v>67</v>
      </c>
      <c r="B39" s="452">
        <v>1</v>
      </c>
      <c r="C39" s="463">
        <v>2</v>
      </c>
      <c r="D39" s="464">
        <v>7502031</v>
      </c>
      <c r="E39" s="465">
        <f>IF(ISBLANK(D39),"-",$D$48/$D$45*D39)</f>
        <v>6785729.4041028991</v>
      </c>
      <c r="F39" s="464">
        <v>6624591</v>
      </c>
      <c r="G39" s="466">
        <f>IF(ISBLANK(F39),"-",$D$48/$F$45*F39)</f>
        <v>6799944.5706147263</v>
      </c>
      <c r="I39" s="695">
        <f>ABS((F43/D43*D42)-F42)/D42</f>
        <v>1.2652525095433311E-3</v>
      </c>
      <c r="J39" s="439"/>
      <c r="K39" s="439"/>
      <c r="L39" s="444"/>
      <c r="M39" s="444"/>
      <c r="N39" s="445"/>
    </row>
    <row r="40" spans="1:14" ht="26.25" customHeight="1" x14ac:dyDescent="0.4">
      <c r="A40" s="451" t="s">
        <v>68</v>
      </c>
      <c r="B40" s="452">
        <v>1</v>
      </c>
      <c r="C40" s="463">
        <v>3</v>
      </c>
      <c r="D40" s="464">
        <v>7472903</v>
      </c>
      <c r="E40" s="465">
        <f>IF(ISBLANK(D40),"-",$D$48/$D$45*D40)</f>
        <v>6759382.5753464317</v>
      </c>
      <c r="F40" s="464">
        <v>6592206</v>
      </c>
      <c r="G40" s="466">
        <f>IF(ISBLANK(F40),"-",$D$48/$F$45*F40)</f>
        <v>6766702.3365025595</v>
      </c>
      <c r="I40" s="695"/>
      <c r="L40" s="444"/>
      <c r="M40" s="444"/>
      <c r="N40" s="424"/>
    </row>
    <row r="41" spans="1:14" ht="27" customHeight="1" thickBot="1" x14ac:dyDescent="0.45">
      <c r="A41" s="451" t="s">
        <v>69</v>
      </c>
      <c r="B41" s="452">
        <v>1</v>
      </c>
      <c r="C41" s="467">
        <v>4</v>
      </c>
      <c r="D41" s="468"/>
      <c r="E41" s="469" t="str">
        <f>IF(ISBLANK(D41),"-",$D$48/$D$45*D41)</f>
        <v>-</v>
      </c>
      <c r="F41" s="468"/>
      <c r="G41" s="470" t="str">
        <f>IF(ISBLANK(F41),"-",$D$48/$F$45*F41)</f>
        <v>-</v>
      </c>
      <c r="I41" s="471"/>
      <c r="L41" s="444"/>
      <c r="M41" s="444"/>
      <c r="N41" s="424"/>
    </row>
    <row r="42" spans="1:14" ht="27" customHeight="1" thickBot="1" x14ac:dyDescent="0.45">
      <c r="A42" s="451" t="s">
        <v>70</v>
      </c>
      <c r="B42" s="452">
        <v>1</v>
      </c>
      <c r="C42" s="472" t="s">
        <v>71</v>
      </c>
      <c r="D42" s="473">
        <f>AVERAGE(D38:D41)</f>
        <v>7501864</v>
      </c>
      <c r="E42" s="474">
        <f>AVERAGE(E38:E41)</f>
        <v>6785578.3494337723</v>
      </c>
      <c r="F42" s="473">
        <f>AVERAGE(F38:F41)</f>
        <v>6620087</v>
      </c>
      <c r="G42" s="475">
        <f>AVERAGE(G38:G41)</f>
        <v>6795321.3492949428</v>
      </c>
      <c r="H42" s="476"/>
    </row>
    <row r="43" spans="1:14" ht="26.25" customHeight="1" x14ac:dyDescent="0.4">
      <c r="A43" s="451" t="s">
        <v>72</v>
      </c>
      <c r="B43" s="452">
        <v>1</v>
      </c>
      <c r="C43" s="477" t="s">
        <v>73</v>
      </c>
      <c r="D43" s="478">
        <v>17.760000000000002</v>
      </c>
      <c r="E43" s="424"/>
      <c r="F43" s="478">
        <v>15.65</v>
      </c>
      <c r="H43" s="476"/>
    </row>
    <row r="44" spans="1:14" ht="26.25" customHeight="1" x14ac:dyDescent="0.4">
      <c r="A44" s="451" t="s">
        <v>74</v>
      </c>
      <c r="B44" s="452">
        <v>1</v>
      </c>
      <c r="C44" s="479" t="s">
        <v>75</v>
      </c>
      <c r="D44" s="480">
        <f>D43*$B$34</f>
        <v>17.760000000000002</v>
      </c>
      <c r="E44" s="481"/>
      <c r="F44" s="480">
        <f>F43*$B$34</f>
        <v>15.65</v>
      </c>
      <c r="H44" s="476"/>
    </row>
    <row r="45" spans="1:14" ht="19.5" customHeight="1" thickBot="1" x14ac:dyDescent="0.35">
      <c r="A45" s="451" t="s">
        <v>76</v>
      </c>
      <c r="B45" s="463">
        <f>(B44/B43)*(B42/B41)*(B40/B39)*(B38/B37)*B36</f>
        <v>100</v>
      </c>
      <c r="C45" s="479" t="s">
        <v>77</v>
      </c>
      <c r="D45" s="482">
        <f>D44*$B$30/100</f>
        <v>17.688959999999998</v>
      </c>
      <c r="E45" s="483"/>
      <c r="F45" s="482">
        <f>F44*$B$30/100</f>
        <v>15.587400000000001</v>
      </c>
      <c r="H45" s="476"/>
    </row>
    <row r="46" spans="1:14" ht="19.5" customHeight="1" thickBot="1" x14ac:dyDescent="0.35">
      <c r="A46" s="696" t="s">
        <v>78</v>
      </c>
      <c r="B46" s="697"/>
      <c r="C46" s="479" t="s">
        <v>79</v>
      </c>
      <c r="D46" s="484">
        <f>D45/$B$45</f>
        <v>0.17688959999999998</v>
      </c>
      <c r="E46" s="485"/>
      <c r="F46" s="486">
        <f>F45/$B$45</f>
        <v>0.15587400000000001</v>
      </c>
      <c r="H46" s="476"/>
    </row>
    <row r="47" spans="1:14" ht="27" customHeight="1" thickBot="1" x14ac:dyDescent="0.45">
      <c r="A47" s="698"/>
      <c r="B47" s="699"/>
      <c r="C47" s="487" t="s">
        <v>80</v>
      </c>
      <c r="D47" s="488">
        <v>0.16</v>
      </c>
      <c r="E47" s="489"/>
      <c r="F47" s="485"/>
      <c r="H47" s="476"/>
    </row>
    <row r="48" spans="1:14" ht="18.75" x14ac:dyDescent="0.3">
      <c r="C48" s="490" t="s">
        <v>81</v>
      </c>
      <c r="D48" s="482">
        <f>D47*$B$45</f>
        <v>16</v>
      </c>
      <c r="F48" s="491"/>
      <c r="H48" s="476"/>
    </row>
    <row r="49" spans="1:12" ht="19.5" customHeight="1" thickBot="1" x14ac:dyDescent="0.35">
      <c r="C49" s="492" t="s">
        <v>82</v>
      </c>
      <c r="D49" s="493">
        <f>D48/B34</f>
        <v>16</v>
      </c>
      <c r="F49" s="491"/>
      <c r="H49" s="476"/>
    </row>
    <row r="50" spans="1:12" ht="18.75" x14ac:dyDescent="0.3">
      <c r="C50" s="449" t="s">
        <v>83</v>
      </c>
      <c r="D50" s="494">
        <f>AVERAGE(E38:E41,G38:G41)</f>
        <v>6790449.849364358</v>
      </c>
      <c r="F50" s="495"/>
      <c r="H50" s="476"/>
    </row>
    <row r="51" spans="1:12" ht="18.75" x14ac:dyDescent="0.3">
      <c r="C51" s="451" t="s">
        <v>84</v>
      </c>
      <c r="D51" s="496">
        <f>STDEV(E38:E41,G38:G41)/D50</f>
        <v>3.5607712850835934E-3</v>
      </c>
      <c r="F51" s="495"/>
      <c r="H51" s="476"/>
    </row>
    <row r="52" spans="1:12" ht="19.5" customHeight="1" thickBot="1" x14ac:dyDescent="0.35">
      <c r="C52" s="497" t="s">
        <v>20</v>
      </c>
      <c r="D52" s="498">
        <f>COUNT(E38:E41,G38:G41)</f>
        <v>6</v>
      </c>
      <c r="F52" s="495"/>
    </row>
    <row r="54" spans="1:12" ht="18.75" x14ac:dyDescent="0.3">
      <c r="A54" s="499" t="s">
        <v>1</v>
      </c>
      <c r="B54" s="500" t="s">
        <v>85</v>
      </c>
    </row>
    <row r="55" spans="1:12" ht="18.75" x14ac:dyDescent="0.3">
      <c r="A55" s="424" t="s">
        <v>86</v>
      </c>
      <c r="B55" s="501" t="str">
        <f>B21</f>
        <v xml:space="preserve">Rifampicin 60mg, Isoniazid 30mg, Pyrazinamide 150mg 
</v>
      </c>
    </row>
    <row r="56" spans="1:12" ht="26.25" customHeight="1" x14ac:dyDescent="0.4">
      <c r="A56" s="501" t="s">
        <v>87</v>
      </c>
      <c r="B56" s="502">
        <v>60</v>
      </c>
      <c r="C56" s="424" t="str">
        <f>B20</f>
        <v xml:space="preserve">Rifampicin, Isoniazid, Pyrazinamide 
</v>
      </c>
      <c r="H56" s="481"/>
    </row>
    <row r="57" spans="1:12" ht="18.75" x14ac:dyDescent="0.3">
      <c r="A57" s="501" t="s">
        <v>88</v>
      </c>
      <c r="B57" s="503">
        <f>Uniformity!C46</f>
        <v>295.15250000000003</v>
      </c>
      <c r="H57" s="481"/>
    </row>
    <row r="58" spans="1:12" ht="19.5" customHeight="1" thickBot="1" x14ac:dyDescent="0.35">
      <c r="H58" s="481"/>
    </row>
    <row r="59" spans="1:12" s="438" customFormat="1" ht="27" customHeight="1" thickBot="1" x14ac:dyDescent="0.45">
      <c r="A59" s="449" t="s">
        <v>89</v>
      </c>
      <c r="B59" s="450">
        <v>100</v>
      </c>
      <c r="C59" s="424"/>
      <c r="D59" s="504" t="s">
        <v>90</v>
      </c>
      <c r="E59" s="505" t="s">
        <v>62</v>
      </c>
      <c r="F59" s="505" t="s">
        <v>63</v>
      </c>
      <c r="G59" s="505" t="s">
        <v>91</v>
      </c>
      <c r="H59" s="453" t="s">
        <v>92</v>
      </c>
      <c r="L59" s="439"/>
    </row>
    <row r="60" spans="1:12" s="438" customFormat="1" ht="26.25" customHeight="1" x14ac:dyDescent="0.4">
      <c r="A60" s="451" t="s">
        <v>93</v>
      </c>
      <c r="B60" s="452">
        <v>1</v>
      </c>
      <c r="C60" s="700" t="s">
        <v>94</v>
      </c>
      <c r="D60" s="703">
        <v>78.760000000000005</v>
      </c>
      <c r="E60" s="506">
        <v>1</v>
      </c>
      <c r="F60" s="507">
        <v>6526006</v>
      </c>
      <c r="G60" s="508">
        <f>IF(ISBLANK(F60),"-",(F60/$D$50*$D$47*$B$68)*($B$57/$D$60))</f>
        <v>57.624830900773198</v>
      </c>
      <c r="H60" s="509">
        <f t="shared" ref="H60:H71" si="0">IF(ISBLANK(F60),"-",G60/$B$56)</f>
        <v>0.96041384834622001</v>
      </c>
      <c r="L60" s="439"/>
    </row>
    <row r="61" spans="1:12" s="438" customFormat="1" ht="26.25" customHeight="1" x14ac:dyDescent="0.4">
      <c r="A61" s="451" t="s">
        <v>95</v>
      </c>
      <c r="B61" s="452">
        <v>1</v>
      </c>
      <c r="C61" s="701"/>
      <c r="D61" s="704"/>
      <c r="E61" s="510">
        <v>2</v>
      </c>
      <c r="F61" s="464">
        <v>6537780</v>
      </c>
      <c r="G61" s="511">
        <f>IF(ISBLANK(F61),"-",(F61/$D$50*$D$47*$B$68)*($B$57/$D$60))</f>
        <v>57.728795677855182</v>
      </c>
      <c r="H61" s="512">
        <f t="shared" si="0"/>
        <v>0.96214659463091967</v>
      </c>
      <c r="L61" s="439"/>
    </row>
    <row r="62" spans="1:12" s="438" customFormat="1" ht="26.25" customHeight="1" x14ac:dyDescent="0.4">
      <c r="A62" s="451" t="s">
        <v>96</v>
      </c>
      <c r="B62" s="452">
        <v>1</v>
      </c>
      <c r="C62" s="701"/>
      <c r="D62" s="704"/>
      <c r="E62" s="510">
        <v>3</v>
      </c>
      <c r="F62" s="513">
        <v>6540950</v>
      </c>
      <c r="G62" s="511">
        <f>IF(ISBLANK(F62),"-",(F62/$D$50*$D$47*$B$68)*($B$57/$D$60))</f>
        <v>57.756786873994976</v>
      </c>
      <c r="H62" s="512">
        <f t="shared" si="0"/>
        <v>0.96261311456658294</v>
      </c>
      <c r="L62" s="439"/>
    </row>
    <row r="63" spans="1:12" ht="27" customHeight="1" thickBot="1" x14ac:dyDescent="0.45">
      <c r="A63" s="451" t="s">
        <v>97</v>
      </c>
      <c r="B63" s="452">
        <v>1</v>
      </c>
      <c r="C63" s="702"/>
      <c r="D63" s="705"/>
      <c r="E63" s="514">
        <v>4</v>
      </c>
      <c r="F63" s="515"/>
      <c r="G63" s="511" t="str">
        <f>IF(ISBLANK(F63),"-",(F63/$D$50*$D$47*$B$68)*($B$57/$D$60))</f>
        <v>-</v>
      </c>
      <c r="H63" s="512" t="str">
        <f t="shared" si="0"/>
        <v>-</v>
      </c>
    </row>
    <row r="64" spans="1:12" ht="26.25" customHeight="1" x14ac:dyDescent="0.4">
      <c r="A64" s="451" t="s">
        <v>98</v>
      </c>
      <c r="B64" s="452">
        <v>1</v>
      </c>
      <c r="C64" s="700" t="s">
        <v>99</v>
      </c>
      <c r="D64" s="703">
        <v>76.349999999999994</v>
      </c>
      <c r="E64" s="506">
        <v>1</v>
      </c>
      <c r="F64" s="507">
        <v>6422336</v>
      </c>
      <c r="G64" s="516">
        <f>IF(ISBLANK(F64),"-",(F64/$D$50*$D$47*$B$68)*($B$57/$D$64))</f>
        <v>58.499463650022349</v>
      </c>
      <c r="H64" s="517">
        <f t="shared" si="0"/>
        <v>0.97499106083370579</v>
      </c>
    </row>
    <row r="65" spans="1:8" ht="26.25" customHeight="1" x14ac:dyDescent="0.4">
      <c r="A65" s="451" t="s">
        <v>100</v>
      </c>
      <c r="B65" s="452">
        <v>1</v>
      </c>
      <c r="C65" s="701"/>
      <c r="D65" s="704"/>
      <c r="E65" s="510">
        <v>2</v>
      </c>
      <c r="F65" s="464">
        <v>6433731</v>
      </c>
      <c r="G65" s="518">
        <f>IF(ISBLANK(F65),"-",(F65/$D$50*$D$47*$B$68)*($B$57/$D$64))</f>
        <v>58.603257875097462</v>
      </c>
      <c r="H65" s="519">
        <f t="shared" si="0"/>
        <v>0.97672096458495772</v>
      </c>
    </row>
    <row r="66" spans="1:8" ht="26.25" customHeight="1" x14ac:dyDescent="0.4">
      <c r="A66" s="451" t="s">
        <v>101</v>
      </c>
      <c r="B66" s="452">
        <v>1</v>
      </c>
      <c r="C66" s="701"/>
      <c r="D66" s="704"/>
      <c r="E66" s="510">
        <v>3</v>
      </c>
      <c r="F66" s="464">
        <v>6440138</v>
      </c>
      <c r="G66" s="518">
        <f>IF(ISBLANK(F66),"-",(F66/$D$50*$D$47*$B$68)*($B$57/$D$64))</f>
        <v>58.66161764693215</v>
      </c>
      <c r="H66" s="519">
        <f t="shared" si="0"/>
        <v>0.97769362744886912</v>
      </c>
    </row>
    <row r="67" spans="1:8" ht="27" customHeight="1" thickBot="1" x14ac:dyDescent="0.45">
      <c r="A67" s="451" t="s">
        <v>102</v>
      </c>
      <c r="B67" s="452">
        <v>1</v>
      </c>
      <c r="C67" s="702"/>
      <c r="D67" s="705"/>
      <c r="E67" s="514">
        <v>4</v>
      </c>
      <c r="F67" s="515"/>
      <c r="G67" s="520" t="str">
        <f>IF(ISBLANK(F67),"-",(F67/$D$50*$D$47*$B$68)*($B$57/$D$64))</f>
        <v>-</v>
      </c>
      <c r="H67" s="521" t="str">
        <f t="shared" si="0"/>
        <v>-</v>
      </c>
    </row>
    <row r="68" spans="1:8" ht="26.25" customHeight="1" x14ac:dyDescent="0.4">
      <c r="A68" s="451" t="s">
        <v>103</v>
      </c>
      <c r="B68" s="522">
        <f>(B67/B66)*(B65/B64)*(B63/B62)*(B61/B60)*B59</f>
        <v>100</v>
      </c>
      <c r="C68" s="700" t="s">
        <v>104</v>
      </c>
      <c r="D68" s="703">
        <v>77.459999999999994</v>
      </c>
      <c r="E68" s="506">
        <v>1</v>
      </c>
      <c r="F68" s="507"/>
      <c r="G68" s="516" t="str">
        <f>IF(ISBLANK(F68),"-",(F68/$D$50*$D$47*$B$68)*($B$57/$D$68))</f>
        <v>-</v>
      </c>
      <c r="H68" s="512" t="str">
        <f t="shared" si="0"/>
        <v>-</v>
      </c>
    </row>
    <row r="69" spans="1:8" ht="27" customHeight="1" thickBot="1" x14ac:dyDescent="0.45">
      <c r="A69" s="497" t="s">
        <v>105</v>
      </c>
      <c r="B69" s="523">
        <f>(D47*B68)/B56*B57</f>
        <v>78.707333333333338</v>
      </c>
      <c r="C69" s="701"/>
      <c r="D69" s="704"/>
      <c r="E69" s="510">
        <v>2</v>
      </c>
      <c r="F69" s="464"/>
      <c r="G69" s="518" t="str">
        <f>IF(ISBLANK(F69),"-",(F69/$D$50*$D$47*$B$68)*($B$57/$D$68))</f>
        <v>-</v>
      </c>
      <c r="H69" s="512" t="str">
        <f t="shared" si="0"/>
        <v>-</v>
      </c>
    </row>
    <row r="70" spans="1:8" ht="26.25" customHeight="1" x14ac:dyDescent="0.4">
      <c r="A70" s="708" t="s">
        <v>78</v>
      </c>
      <c r="B70" s="709"/>
      <c r="C70" s="701"/>
      <c r="D70" s="704"/>
      <c r="E70" s="510">
        <v>3</v>
      </c>
      <c r="F70" s="464"/>
      <c r="G70" s="518" t="str">
        <f>IF(ISBLANK(F70),"-",(F70/$D$50*$D$47*$B$68)*($B$57/$D$68))</f>
        <v>-</v>
      </c>
      <c r="H70" s="512" t="str">
        <f t="shared" si="0"/>
        <v>-</v>
      </c>
    </row>
    <row r="71" spans="1:8" ht="27" customHeight="1" thickBot="1" x14ac:dyDescent="0.45">
      <c r="A71" s="710"/>
      <c r="B71" s="711"/>
      <c r="C71" s="706"/>
      <c r="D71" s="705"/>
      <c r="E71" s="514">
        <v>4</v>
      </c>
      <c r="F71" s="515"/>
      <c r="G71" s="520" t="str">
        <f>IF(ISBLANK(F71),"-",(F71/$D$50*$D$47*$B$68)*($B$57/$D$68))</f>
        <v>-</v>
      </c>
      <c r="H71" s="524" t="str">
        <f t="shared" si="0"/>
        <v>-</v>
      </c>
    </row>
    <row r="72" spans="1:8" ht="26.25" customHeight="1" x14ac:dyDescent="0.4">
      <c r="A72" s="481"/>
      <c r="B72" s="481"/>
      <c r="C72" s="481"/>
      <c r="D72" s="481"/>
      <c r="E72" s="481"/>
      <c r="F72" s="525" t="s">
        <v>71</v>
      </c>
      <c r="G72" s="526">
        <f>AVERAGE(G60:G71)</f>
        <v>58.145792104112559</v>
      </c>
      <c r="H72" s="527">
        <f>AVERAGE(H60:H71)</f>
        <v>0.96909653506854265</v>
      </c>
    </row>
    <row r="73" spans="1:8" ht="26.25" customHeight="1" x14ac:dyDescent="0.4">
      <c r="C73" s="481"/>
      <c r="D73" s="481"/>
      <c r="E73" s="481"/>
      <c r="F73" s="528" t="s">
        <v>84</v>
      </c>
      <c r="G73" s="529">
        <f>STDEV(G60:G71)/G72</f>
        <v>8.4149618906299555E-3</v>
      </c>
      <c r="H73" s="529">
        <f>STDEV(H60:H71)/H72</f>
        <v>8.414961890629933E-3</v>
      </c>
    </row>
    <row r="74" spans="1:8" ht="27" customHeight="1" thickBot="1" x14ac:dyDescent="0.45">
      <c r="A74" s="481"/>
      <c r="B74" s="481"/>
      <c r="C74" s="481"/>
      <c r="D74" s="481"/>
      <c r="E74" s="483"/>
      <c r="F74" s="530" t="s">
        <v>20</v>
      </c>
      <c r="G74" s="531">
        <f>COUNT(G60:G71)</f>
        <v>6</v>
      </c>
      <c r="H74" s="531">
        <f>COUNT(H60:H71)</f>
        <v>6</v>
      </c>
    </row>
    <row r="76" spans="1:8" ht="26.25" customHeight="1" x14ac:dyDescent="0.4">
      <c r="A76" s="434" t="s">
        <v>106</v>
      </c>
      <c r="B76" s="435" t="s">
        <v>107</v>
      </c>
      <c r="C76" s="712" t="str">
        <f>B20</f>
        <v xml:space="preserve">Rifampicin, Isoniazid, Pyrazinamide 
</v>
      </c>
      <c r="D76" s="712"/>
      <c r="E76" s="424" t="s">
        <v>108</v>
      </c>
      <c r="F76" s="424"/>
      <c r="G76" s="532">
        <f>H72</f>
        <v>0.96909653506854265</v>
      </c>
      <c r="H76" s="440"/>
    </row>
    <row r="77" spans="1:8" ht="18.75" x14ac:dyDescent="0.3">
      <c r="A77" s="433" t="s">
        <v>109</v>
      </c>
      <c r="B77" s="433" t="s">
        <v>110</v>
      </c>
    </row>
    <row r="78" spans="1:8" ht="18.75" x14ac:dyDescent="0.3">
      <c r="A78" s="433"/>
      <c r="B78" s="433"/>
    </row>
    <row r="79" spans="1:8" ht="26.25" customHeight="1" x14ac:dyDescent="0.4">
      <c r="A79" s="434" t="s">
        <v>4</v>
      </c>
      <c r="B79" s="707" t="str">
        <f>B26</f>
        <v>Rifampicin</v>
      </c>
      <c r="C79" s="707"/>
    </row>
    <row r="80" spans="1:8" ht="26.25" customHeight="1" x14ac:dyDescent="0.4">
      <c r="A80" s="435" t="s">
        <v>48</v>
      </c>
      <c r="B80" s="707" t="str">
        <f>B27</f>
        <v>R5-1</v>
      </c>
      <c r="C80" s="707"/>
    </row>
    <row r="81" spans="1:12" ht="27" customHeight="1" thickBot="1" x14ac:dyDescent="0.45">
      <c r="A81" s="435" t="s">
        <v>6</v>
      </c>
      <c r="B81" s="436">
        <f>B28</f>
        <v>99.6</v>
      </c>
    </row>
    <row r="82" spans="1:12" s="438" customFormat="1" ht="27" customHeight="1" thickBot="1" x14ac:dyDescent="0.45">
      <c r="A82" s="435" t="s">
        <v>49</v>
      </c>
      <c r="B82" s="437">
        <v>0</v>
      </c>
      <c r="C82" s="689" t="s">
        <v>50</v>
      </c>
      <c r="D82" s="690"/>
      <c r="E82" s="690"/>
      <c r="F82" s="690"/>
      <c r="G82" s="691"/>
      <c r="I82" s="439"/>
      <c r="J82" s="439"/>
      <c r="K82" s="439"/>
      <c r="L82" s="439"/>
    </row>
    <row r="83" spans="1:12" s="438" customFormat="1" ht="19.5" customHeight="1" thickBot="1" x14ac:dyDescent="0.35">
      <c r="A83" s="435" t="s">
        <v>51</v>
      </c>
      <c r="B83" s="440">
        <f>B81-B82</f>
        <v>99.6</v>
      </c>
      <c r="C83" s="441"/>
      <c r="D83" s="441"/>
      <c r="E83" s="441"/>
      <c r="F83" s="441"/>
      <c r="G83" s="442"/>
      <c r="I83" s="439"/>
      <c r="J83" s="439"/>
      <c r="K83" s="439"/>
      <c r="L83" s="439"/>
    </row>
    <row r="84" spans="1:12" s="438" customFormat="1" ht="27" customHeight="1" thickBot="1" x14ac:dyDescent="0.45">
      <c r="A84" s="435" t="s">
        <v>52</v>
      </c>
      <c r="B84" s="443">
        <v>1</v>
      </c>
      <c r="C84" s="677" t="s">
        <v>111</v>
      </c>
      <c r="D84" s="678"/>
      <c r="E84" s="678"/>
      <c r="F84" s="678"/>
      <c r="G84" s="678"/>
      <c r="H84" s="679"/>
      <c r="I84" s="439"/>
      <c r="J84" s="439"/>
      <c r="K84" s="439"/>
      <c r="L84" s="439"/>
    </row>
    <row r="85" spans="1:12" s="438" customFormat="1" ht="27" customHeight="1" thickBot="1" x14ac:dyDescent="0.45">
      <c r="A85" s="435" t="s">
        <v>54</v>
      </c>
      <c r="B85" s="443">
        <v>1</v>
      </c>
      <c r="C85" s="677" t="s">
        <v>112</v>
      </c>
      <c r="D85" s="678"/>
      <c r="E85" s="678"/>
      <c r="F85" s="678"/>
      <c r="G85" s="678"/>
      <c r="H85" s="679"/>
      <c r="I85" s="439"/>
      <c r="J85" s="439"/>
      <c r="K85" s="439"/>
      <c r="L85" s="439"/>
    </row>
    <row r="86" spans="1:12" s="438" customFormat="1" ht="18.75" x14ac:dyDescent="0.3">
      <c r="A86" s="435"/>
      <c r="B86" s="446"/>
      <c r="C86" s="447"/>
      <c r="D86" s="447"/>
      <c r="E86" s="447"/>
      <c r="F86" s="447"/>
      <c r="G86" s="447"/>
      <c r="H86" s="447"/>
      <c r="I86" s="439"/>
      <c r="J86" s="439"/>
      <c r="K86" s="439"/>
      <c r="L86" s="439"/>
    </row>
    <row r="87" spans="1:12" s="438" customFormat="1" ht="18.75" x14ac:dyDescent="0.3">
      <c r="A87" s="435" t="s">
        <v>56</v>
      </c>
      <c r="B87" s="448">
        <f>B84/B85</f>
        <v>1</v>
      </c>
      <c r="C87" s="424" t="s">
        <v>57</v>
      </c>
      <c r="D87" s="424"/>
      <c r="E87" s="424"/>
      <c r="F87" s="424"/>
      <c r="G87" s="424"/>
      <c r="I87" s="439"/>
      <c r="J87" s="439"/>
      <c r="K87" s="439"/>
      <c r="L87" s="439"/>
    </row>
    <row r="88" spans="1:12" ht="19.5" customHeight="1" thickBot="1" x14ac:dyDescent="0.35">
      <c r="A88" s="433"/>
      <c r="B88" s="433"/>
    </row>
    <row r="89" spans="1:12" ht="27" customHeight="1" thickBot="1" x14ac:dyDescent="0.45">
      <c r="A89" s="449" t="s">
        <v>58</v>
      </c>
      <c r="B89" s="450">
        <v>100</v>
      </c>
      <c r="D89" s="533" t="s">
        <v>59</v>
      </c>
      <c r="E89" s="534"/>
      <c r="F89" s="692" t="s">
        <v>60</v>
      </c>
      <c r="G89" s="694"/>
    </row>
    <row r="90" spans="1:12" ht="27" customHeight="1" thickBot="1" x14ac:dyDescent="0.45">
      <c r="A90" s="451" t="s">
        <v>61</v>
      </c>
      <c r="B90" s="452">
        <v>10</v>
      </c>
      <c r="C90" s="535" t="s">
        <v>62</v>
      </c>
      <c r="D90" s="454" t="s">
        <v>63</v>
      </c>
      <c r="E90" s="455" t="s">
        <v>64</v>
      </c>
      <c r="F90" s="454" t="s">
        <v>63</v>
      </c>
      <c r="G90" s="536" t="s">
        <v>64</v>
      </c>
      <c r="I90" s="457" t="s">
        <v>65</v>
      </c>
    </row>
    <row r="91" spans="1:12" ht="26.25" customHeight="1" x14ac:dyDescent="0.4">
      <c r="A91" s="451" t="s">
        <v>66</v>
      </c>
      <c r="B91" s="452">
        <v>25</v>
      </c>
      <c r="C91" s="537">
        <v>1</v>
      </c>
      <c r="D91" s="459">
        <v>2774292</v>
      </c>
      <c r="E91" s="460">
        <f>IF(ISBLANK(D91),"-",$D$101/$D$98*D91)</f>
        <v>2613958.0845906152</v>
      </c>
      <c r="F91" s="459">
        <v>2468936</v>
      </c>
      <c r="G91" s="461">
        <f>IF(ISBLANK(F91),"-",$D$101/$F$98*F91)</f>
        <v>2639884.3510356653</v>
      </c>
      <c r="I91" s="462"/>
    </row>
    <row r="92" spans="1:12" ht="26.25" customHeight="1" x14ac:dyDescent="0.4">
      <c r="A92" s="451" t="s">
        <v>67</v>
      </c>
      <c r="B92" s="452">
        <v>1</v>
      </c>
      <c r="C92" s="481">
        <v>2</v>
      </c>
      <c r="D92" s="464">
        <v>2774581</v>
      </c>
      <c r="E92" s="465">
        <f>IF(ISBLANK(D92),"-",$D$101/$D$98*D92)</f>
        <v>2614230.382490925</v>
      </c>
      <c r="F92" s="464">
        <v>2462497</v>
      </c>
      <c r="G92" s="466">
        <f>IF(ISBLANK(F92),"-",$D$101/$F$98*F92)</f>
        <v>2632999.516703662</v>
      </c>
      <c r="I92" s="695">
        <f>ABS((F96/D96*D95)-F95)/D95</f>
        <v>8.963898497979416E-3</v>
      </c>
    </row>
    <row r="93" spans="1:12" ht="26.25" customHeight="1" x14ac:dyDescent="0.4">
      <c r="A93" s="451" t="s">
        <v>68</v>
      </c>
      <c r="B93" s="452">
        <v>1</v>
      </c>
      <c r="C93" s="481">
        <v>3</v>
      </c>
      <c r="D93" s="464">
        <v>2756107</v>
      </c>
      <c r="E93" s="465">
        <f>IF(ISBLANK(D93),"-",$D$101/$D$98*D93)</f>
        <v>2596824.0454309736</v>
      </c>
      <c r="F93" s="464">
        <v>2461308</v>
      </c>
      <c r="G93" s="466">
        <f>IF(ISBLANK(F93),"-",$D$101/$F$98*F93)</f>
        <v>2631728.1907181442</v>
      </c>
      <c r="I93" s="695"/>
    </row>
    <row r="94" spans="1:12" ht="27" customHeight="1" thickBot="1" x14ac:dyDescent="0.45">
      <c r="A94" s="451" t="s">
        <v>69</v>
      </c>
      <c r="B94" s="452">
        <v>1</v>
      </c>
      <c r="C94" s="538">
        <v>4</v>
      </c>
      <c r="D94" s="468"/>
      <c r="E94" s="469" t="str">
        <f>IF(ISBLANK(D94),"-",$D$101/$D$98*D94)</f>
        <v>-</v>
      </c>
      <c r="F94" s="539"/>
      <c r="G94" s="470" t="str">
        <f>IF(ISBLANK(F94),"-",$D$101/$F$98*F94)</f>
        <v>-</v>
      </c>
      <c r="I94" s="471"/>
    </row>
    <row r="95" spans="1:12" ht="27" customHeight="1" thickBot="1" x14ac:dyDescent="0.45">
      <c r="A95" s="451" t="s">
        <v>70</v>
      </c>
      <c r="B95" s="452">
        <v>1</v>
      </c>
      <c r="C95" s="435" t="s">
        <v>71</v>
      </c>
      <c r="D95" s="540">
        <f>AVERAGE(D91:D94)</f>
        <v>2768326.6666666665</v>
      </c>
      <c r="E95" s="474">
        <f>AVERAGE(E91:E94)</f>
        <v>2608337.5041708383</v>
      </c>
      <c r="F95" s="541">
        <f>AVERAGE(F91:F94)</f>
        <v>2464247</v>
      </c>
      <c r="G95" s="542">
        <f>AVERAGE(G91:G94)</f>
        <v>2634870.6861524903</v>
      </c>
    </row>
    <row r="96" spans="1:12" ht="26.25" customHeight="1" x14ac:dyDescent="0.4">
      <c r="A96" s="451" t="s">
        <v>72</v>
      </c>
      <c r="B96" s="436">
        <v>1</v>
      </c>
      <c r="C96" s="543" t="s">
        <v>113</v>
      </c>
      <c r="D96" s="544">
        <v>17.760000000000002</v>
      </c>
      <c r="E96" s="424"/>
      <c r="F96" s="478">
        <v>15.65</v>
      </c>
    </row>
    <row r="97" spans="1:10" ht="26.25" customHeight="1" x14ac:dyDescent="0.4">
      <c r="A97" s="451" t="s">
        <v>74</v>
      </c>
      <c r="B97" s="436">
        <v>1</v>
      </c>
      <c r="C97" s="545" t="s">
        <v>114</v>
      </c>
      <c r="D97" s="546">
        <f>D96*$B$87</f>
        <v>17.760000000000002</v>
      </c>
      <c r="E97" s="481"/>
      <c r="F97" s="480">
        <f>F96*$B$87</f>
        <v>15.65</v>
      </c>
    </row>
    <row r="98" spans="1:10" ht="19.5" customHeight="1" thickBot="1" x14ac:dyDescent="0.35">
      <c r="A98" s="451" t="s">
        <v>76</v>
      </c>
      <c r="B98" s="481">
        <f>(B97/B96)*(B95/B94)*(B93/B92)*(B91/B90)*B89</f>
        <v>250</v>
      </c>
      <c r="C98" s="545" t="s">
        <v>115</v>
      </c>
      <c r="D98" s="547">
        <f>D97*$B$83/100</f>
        <v>17.688959999999998</v>
      </c>
      <c r="E98" s="483"/>
      <c r="F98" s="482">
        <f>F97*$B$83/100</f>
        <v>15.587400000000001</v>
      </c>
    </row>
    <row r="99" spans="1:10" ht="19.5" customHeight="1" thickBot="1" x14ac:dyDescent="0.35">
      <c r="A99" s="696" t="s">
        <v>78</v>
      </c>
      <c r="B99" s="713"/>
      <c r="C99" s="545" t="s">
        <v>116</v>
      </c>
      <c r="D99" s="548">
        <f>D98/$B$98</f>
        <v>7.0755839999999987E-2</v>
      </c>
      <c r="E99" s="483"/>
      <c r="F99" s="486">
        <f>F98/$B$98</f>
        <v>6.2349600000000005E-2</v>
      </c>
      <c r="H99" s="476"/>
    </row>
    <row r="100" spans="1:10" ht="19.5" customHeight="1" thickBot="1" x14ac:dyDescent="0.35">
      <c r="A100" s="698"/>
      <c r="B100" s="714"/>
      <c r="C100" s="545" t="s">
        <v>80</v>
      </c>
      <c r="D100" s="549">
        <f>$B$56/$B$116</f>
        <v>6.6666666666666666E-2</v>
      </c>
      <c r="F100" s="491"/>
      <c r="G100" s="550"/>
      <c r="H100" s="476"/>
    </row>
    <row r="101" spans="1:10" ht="18.75" x14ac:dyDescent="0.3">
      <c r="C101" s="545" t="s">
        <v>81</v>
      </c>
      <c r="D101" s="546">
        <f>D100*$B$98</f>
        <v>16.666666666666668</v>
      </c>
      <c r="F101" s="491"/>
      <c r="H101" s="476"/>
    </row>
    <row r="102" spans="1:10" ht="19.5" customHeight="1" thickBot="1" x14ac:dyDescent="0.35">
      <c r="C102" s="551" t="s">
        <v>82</v>
      </c>
      <c r="D102" s="552">
        <f>D101/B34</f>
        <v>16.666666666666668</v>
      </c>
      <c r="F102" s="495"/>
      <c r="H102" s="476"/>
      <c r="J102" s="553"/>
    </row>
    <row r="103" spans="1:10" ht="18.75" x14ac:dyDescent="0.3">
      <c r="C103" s="554" t="s">
        <v>117</v>
      </c>
      <c r="D103" s="555">
        <f>AVERAGE(E91:E94,G91:G94)</f>
        <v>2621604.0951616643</v>
      </c>
      <c r="F103" s="495"/>
      <c r="G103" s="550"/>
      <c r="H103" s="476"/>
      <c r="J103" s="556"/>
    </row>
    <row r="104" spans="1:10" ht="18.75" x14ac:dyDescent="0.3">
      <c r="C104" s="528" t="s">
        <v>84</v>
      </c>
      <c r="D104" s="557">
        <f>STDEV(E91:E94,G91:G94)/D103</f>
        <v>6.1350075969387541E-3</v>
      </c>
      <c r="F104" s="495"/>
      <c r="H104" s="476"/>
      <c r="J104" s="556"/>
    </row>
    <row r="105" spans="1:10" ht="19.5" customHeight="1" thickBot="1" x14ac:dyDescent="0.35">
      <c r="C105" s="530" t="s">
        <v>20</v>
      </c>
      <c r="D105" s="558">
        <f>COUNT(E91:E94,G91:G94)</f>
        <v>6</v>
      </c>
      <c r="F105" s="495"/>
      <c r="H105" s="476"/>
      <c r="J105" s="556"/>
    </row>
    <row r="106" spans="1:10" ht="19.5" customHeight="1" thickBot="1" x14ac:dyDescent="0.35">
      <c r="A106" s="499"/>
      <c r="B106" s="499"/>
      <c r="C106" s="499"/>
      <c r="D106" s="499"/>
      <c r="E106" s="499"/>
    </row>
    <row r="107" spans="1:10" ht="26.25" customHeight="1" x14ac:dyDescent="0.4">
      <c r="A107" s="449" t="s">
        <v>118</v>
      </c>
      <c r="B107" s="450">
        <v>900</v>
      </c>
      <c r="C107" s="533" t="s">
        <v>119</v>
      </c>
      <c r="D107" s="559" t="s">
        <v>63</v>
      </c>
      <c r="E107" s="560" t="s">
        <v>120</v>
      </c>
      <c r="F107" s="561" t="s">
        <v>121</v>
      </c>
    </row>
    <row r="108" spans="1:10" ht="26.25" customHeight="1" x14ac:dyDescent="0.4">
      <c r="A108" s="451" t="s">
        <v>122</v>
      </c>
      <c r="B108" s="452">
        <v>1</v>
      </c>
      <c r="C108" s="562">
        <v>1</v>
      </c>
      <c r="D108" s="563">
        <v>2612971</v>
      </c>
      <c r="E108" s="564">
        <f t="shared" ref="E108:E113" si="1">IF(ISBLANK(D108),"-",D108/$D$103*$D$100*$B$116)</f>
        <v>59.802416501158262</v>
      </c>
      <c r="F108" s="565">
        <f t="shared" ref="F108:F113" si="2">IF(ISBLANK(D108), "-", E108/$B$56)</f>
        <v>0.99670694168597107</v>
      </c>
    </row>
    <row r="109" spans="1:10" ht="26.25" customHeight="1" x14ac:dyDescent="0.4">
      <c r="A109" s="451" t="s">
        <v>95</v>
      </c>
      <c r="B109" s="452">
        <v>1</v>
      </c>
      <c r="C109" s="562">
        <v>2</v>
      </c>
      <c r="D109" s="563">
        <v>2516706</v>
      </c>
      <c r="E109" s="566">
        <f t="shared" si="1"/>
        <v>57.599223421524385</v>
      </c>
      <c r="F109" s="567">
        <f t="shared" si="2"/>
        <v>0.95998705702540643</v>
      </c>
    </row>
    <row r="110" spans="1:10" ht="26.25" customHeight="1" x14ac:dyDescent="0.4">
      <c r="A110" s="451" t="s">
        <v>96</v>
      </c>
      <c r="B110" s="452">
        <v>1</v>
      </c>
      <c r="C110" s="562">
        <v>3</v>
      </c>
      <c r="D110" s="563">
        <v>2594913</v>
      </c>
      <c r="E110" s="566">
        <f t="shared" si="1"/>
        <v>59.389127552609693</v>
      </c>
      <c r="F110" s="567">
        <f t="shared" si="2"/>
        <v>0.98981879254349492</v>
      </c>
    </row>
    <row r="111" spans="1:10" ht="26.25" customHeight="1" x14ac:dyDescent="0.4">
      <c r="A111" s="451" t="s">
        <v>97</v>
      </c>
      <c r="B111" s="452">
        <v>1</v>
      </c>
      <c r="C111" s="562">
        <v>4</v>
      </c>
      <c r="D111" s="563">
        <v>2485115</v>
      </c>
      <c r="E111" s="566">
        <f t="shared" si="1"/>
        <v>56.876208072449302</v>
      </c>
      <c r="F111" s="567">
        <f t="shared" si="2"/>
        <v>0.94793680120748836</v>
      </c>
    </row>
    <row r="112" spans="1:10" ht="26.25" customHeight="1" x14ac:dyDescent="0.4">
      <c r="A112" s="451" t="s">
        <v>98</v>
      </c>
      <c r="B112" s="452">
        <v>1</v>
      </c>
      <c r="C112" s="562">
        <v>5</v>
      </c>
      <c r="D112" s="563">
        <v>2463198</v>
      </c>
      <c r="E112" s="566">
        <f t="shared" si="1"/>
        <v>56.374599152007448</v>
      </c>
      <c r="F112" s="567">
        <f t="shared" si="2"/>
        <v>0.93957665253345746</v>
      </c>
    </row>
    <row r="113" spans="1:10" ht="26.25" customHeight="1" x14ac:dyDescent="0.4">
      <c r="A113" s="451" t="s">
        <v>100</v>
      </c>
      <c r="B113" s="452">
        <v>1</v>
      </c>
      <c r="C113" s="568">
        <v>6</v>
      </c>
      <c r="D113" s="569">
        <v>2579072</v>
      </c>
      <c r="E113" s="570">
        <f t="shared" si="1"/>
        <v>59.026578530904182</v>
      </c>
      <c r="F113" s="571">
        <f t="shared" si="2"/>
        <v>0.98377630884840306</v>
      </c>
    </row>
    <row r="114" spans="1:10" ht="26.25" customHeight="1" x14ac:dyDescent="0.4">
      <c r="A114" s="451" t="s">
        <v>101</v>
      </c>
      <c r="B114" s="452">
        <v>1</v>
      </c>
      <c r="C114" s="562"/>
      <c r="D114" s="481"/>
      <c r="E114" s="424"/>
      <c r="F114" s="572"/>
    </row>
    <row r="115" spans="1:10" ht="26.25" customHeight="1" x14ac:dyDescent="0.4">
      <c r="A115" s="451" t="s">
        <v>102</v>
      </c>
      <c r="B115" s="452">
        <v>1</v>
      </c>
      <c r="C115" s="562"/>
      <c r="D115" s="573" t="s">
        <v>71</v>
      </c>
      <c r="E115" s="574">
        <f>AVERAGE(E108:E113)</f>
        <v>58.178025538442206</v>
      </c>
      <c r="F115" s="575">
        <f>AVERAGE(F108:F113)</f>
        <v>0.96963375897403681</v>
      </c>
    </row>
    <row r="116" spans="1:10" ht="27" customHeight="1" thickBot="1" x14ac:dyDescent="0.45">
      <c r="A116" s="451" t="s">
        <v>103</v>
      </c>
      <c r="B116" s="463">
        <f>(B115/B114)*(B113/B112)*(B111/B110)*(B109/B108)*B107</f>
        <v>900</v>
      </c>
      <c r="C116" s="576"/>
      <c r="D116" s="435" t="s">
        <v>84</v>
      </c>
      <c r="E116" s="577">
        <f>STDEV(E108:E113)/E115</f>
        <v>2.4438741163860248E-2</v>
      </c>
      <c r="F116" s="577">
        <f>STDEV(F108:F113)/F115</f>
        <v>2.4438741163860266E-2</v>
      </c>
      <c r="I116" s="424"/>
    </row>
    <row r="117" spans="1:10" ht="27" customHeight="1" thickBot="1" x14ac:dyDescent="0.45">
      <c r="A117" s="696" t="s">
        <v>78</v>
      </c>
      <c r="B117" s="697"/>
      <c r="C117" s="578"/>
      <c r="D117" s="579" t="s">
        <v>20</v>
      </c>
      <c r="E117" s="580">
        <f>COUNT(E108:E113)</f>
        <v>6</v>
      </c>
      <c r="F117" s="580">
        <f>COUNT(F108:F113)</f>
        <v>6</v>
      </c>
      <c r="I117" s="424"/>
      <c r="J117" s="556"/>
    </row>
    <row r="118" spans="1:10" ht="19.5" customHeight="1" thickBot="1" x14ac:dyDescent="0.35">
      <c r="A118" s="698"/>
      <c r="B118" s="699"/>
      <c r="C118" s="424"/>
      <c r="D118" s="424"/>
      <c r="E118" s="424"/>
      <c r="F118" s="481"/>
      <c r="G118" s="424"/>
      <c r="H118" s="424"/>
      <c r="I118" s="424"/>
    </row>
    <row r="119" spans="1:10" ht="18.75" x14ac:dyDescent="0.3">
      <c r="A119" s="581"/>
      <c r="B119" s="447"/>
      <c r="C119" s="424"/>
      <c r="D119" s="424"/>
      <c r="E119" s="424"/>
      <c r="F119" s="481"/>
      <c r="G119" s="424"/>
      <c r="H119" s="424"/>
      <c r="I119" s="424"/>
    </row>
    <row r="120" spans="1:10" ht="26.25" customHeight="1" x14ac:dyDescent="0.4">
      <c r="A120" s="434" t="s">
        <v>106</v>
      </c>
      <c r="B120" s="435" t="s">
        <v>123</v>
      </c>
      <c r="C120" s="712" t="str">
        <f>B20</f>
        <v xml:space="preserve">Rifampicin, Isoniazid, Pyrazinamide 
</v>
      </c>
      <c r="D120" s="712"/>
      <c r="E120" s="424" t="s">
        <v>124</v>
      </c>
      <c r="F120" s="424"/>
      <c r="G120" s="532">
        <f>F115</f>
        <v>0.96963375897403681</v>
      </c>
      <c r="H120" s="424"/>
      <c r="I120" s="424"/>
    </row>
    <row r="121" spans="1:10" ht="19.5" customHeight="1" thickBot="1" x14ac:dyDescent="0.35">
      <c r="A121" s="582"/>
      <c r="B121" s="582"/>
      <c r="C121" s="583"/>
      <c r="D121" s="583"/>
      <c r="E121" s="583"/>
      <c r="F121" s="583"/>
      <c r="G121" s="583"/>
      <c r="H121" s="583"/>
    </row>
    <row r="122" spans="1:10" ht="18.75" x14ac:dyDescent="0.3">
      <c r="B122" s="715" t="s">
        <v>26</v>
      </c>
      <c r="C122" s="715"/>
      <c r="E122" s="535" t="s">
        <v>27</v>
      </c>
      <c r="F122" s="584"/>
      <c r="G122" s="715" t="s">
        <v>28</v>
      </c>
      <c r="H122" s="715"/>
    </row>
    <row r="123" spans="1:10" ht="69.95" customHeight="1" x14ac:dyDescent="0.3">
      <c r="A123" s="434" t="s">
        <v>29</v>
      </c>
      <c r="B123" s="585"/>
      <c r="C123" s="585"/>
      <c r="E123" s="585"/>
      <c r="F123" s="424"/>
      <c r="G123" s="585"/>
      <c r="H123" s="585"/>
    </row>
    <row r="124" spans="1:10" ht="69.95" customHeight="1" x14ac:dyDescent="0.3">
      <c r="A124" s="434" t="s">
        <v>30</v>
      </c>
      <c r="B124" s="586"/>
      <c r="C124" s="586"/>
      <c r="E124" s="586"/>
      <c r="F124" s="424"/>
      <c r="G124" s="587"/>
      <c r="H124" s="587"/>
    </row>
    <row r="125" spans="1:10" ht="18.75" x14ac:dyDescent="0.3">
      <c r="A125" s="481"/>
      <c r="B125" s="481"/>
      <c r="C125" s="481"/>
      <c r="D125" s="481"/>
      <c r="E125" s="481"/>
      <c r="F125" s="483"/>
      <c r="G125" s="481"/>
      <c r="H125" s="481"/>
      <c r="I125" s="424"/>
    </row>
    <row r="126" spans="1:10" ht="18.75" x14ac:dyDescent="0.3">
      <c r="A126" s="481"/>
      <c r="B126" s="481"/>
      <c r="C126" s="481"/>
      <c r="D126" s="481"/>
      <c r="E126" s="481"/>
      <c r="F126" s="483"/>
      <c r="G126" s="481"/>
      <c r="H126" s="481"/>
      <c r="I126" s="424"/>
    </row>
    <row r="127" spans="1:10" ht="18.75" x14ac:dyDescent="0.3">
      <c r="A127" s="481"/>
      <c r="B127" s="481"/>
      <c r="C127" s="481"/>
      <c r="D127" s="481"/>
      <c r="E127" s="481"/>
      <c r="F127" s="483"/>
      <c r="G127" s="481"/>
      <c r="H127" s="481"/>
      <c r="I127" s="424"/>
    </row>
    <row r="128" spans="1:10" ht="18.75" x14ac:dyDescent="0.3">
      <c r="A128" s="481"/>
      <c r="B128" s="481"/>
      <c r="C128" s="481"/>
      <c r="D128" s="481"/>
      <c r="E128" s="481"/>
      <c r="F128" s="483"/>
      <c r="G128" s="481"/>
      <c r="H128" s="481"/>
      <c r="I128" s="424"/>
    </row>
    <row r="129" spans="1:9" ht="18.75" x14ac:dyDescent="0.3">
      <c r="A129" s="481"/>
      <c r="B129" s="481"/>
      <c r="C129" s="481"/>
      <c r="D129" s="481"/>
      <c r="E129" s="481"/>
      <c r="F129" s="483"/>
      <c r="G129" s="481"/>
      <c r="H129" s="481"/>
      <c r="I129" s="424"/>
    </row>
    <row r="130" spans="1:9" ht="18.75" x14ac:dyDescent="0.3">
      <c r="A130" s="481"/>
      <c r="B130" s="481"/>
      <c r="C130" s="481"/>
      <c r="D130" s="481"/>
      <c r="E130" s="481"/>
      <c r="F130" s="483"/>
      <c r="G130" s="481"/>
      <c r="H130" s="481"/>
      <c r="I130" s="424"/>
    </row>
    <row r="131" spans="1:9" ht="18.75" x14ac:dyDescent="0.3">
      <c r="A131" s="481"/>
      <c r="B131" s="481"/>
      <c r="C131" s="481"/>
      <c r="D131" s="481"/>
      <c r="E131" s="481"/>
      <c r="F131" s="483"/>
      <c r="G131" s="481"/>
      <c r="H131" s="481"/>
      <c r="I131" s="424"/>
    </row>
    <row r="132" spans="1:9" ht="18.75" x14ac:dyDescent="0.3">
      <c r="A132" s="481"/>
      <c r="B132" s="481"/>
      <c r="C132" s="481"/>
      <c r="D132" s="481"/>
      <c r="E132" s="481"/>
      <c r="F132" s="483"/>
      <c r="G132" s="481"/>
      <c r="H132" s="481"/>
      <c r="I132" s="424"/>
    </row>
    <row r="133" spans="1:9" ht="18.75" x14ac:dyDescent="0.3">
      <c r="A133" s="481"/>
      <c r="B133" s="481"/>
      <c r="C133" s="481"/>
      <c r="D133" s="481"/>
      <c r="E133" s="481"/>
      <c r="F133" s="483"/>
      <c r="G133" s="481"/>
      <c r="H133" s="481"/>
      <c r="I133" s="424"/>
    </row>
    <row r="250" spans="1:1" x14ac:dyDescent="0.25">
      <c r="A250" s="42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ISONIAZID</vt:lpstr>
      <vt:lpstr>SST PYRAZINAMIDE</vt:lpstr>
      <vt:lpstr>SST RIFAMPICIN</vt:lpstr>
      <vt:lpstr>Uniformity</vt:lpstr>
      <vt:lpstr>Isoniazid</vt:lpstr>
      <vt:lpstr>Pyrazinamide</vt:lpstr>
      <vt:lpstr>Rifampin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2016-06-16T19:44:14Z</dcterms:modified>
</cp:coreProperties>
</file>