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528" windowWidth="20772" windowHeight="11448" activeTab="4"/>
  </bookViews>
  <sheets>
    <sheet name="SST ISONIAZID" sheetId="6" r:id="rId1"/>
    <sheet name="SST PYRAZINAMIDE" sheetId="7" r:id="rId2"/>
    <sheet name="SST RIFAMPICIN" sheetId="8" r:id="rId3"/>
    <sheet name="Uniformity" sheetId="2" r:id="rId4"/>
    <sheet name="Isoniazid" sheetId="9" r:id="rId5"/>
    <sheet name="Pyrazinamide" sheetId="10" r:id="rId6"/>
    <sheet name="Rifampin" sheetId="11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C56" i="11" l="1"/>
  <c r="C56" i="10"/>
  <c r="D100" i="9"/>
  <c r="C56" i="9"/>
  <c r="B32" i="8"/>
  <c r="B31" i="8"/>
  <c r="B30" i="8"/>
  <c r="B42" i="8"/>
  <c r="B21" i="8"/>
  <c r="B42" i="6"/>
  <c r="B41" i="6"/>
  <c r="B21" i="6"/>
  <c r="B57" i="11" l="1"/>
  <c r="B57" i="10"/>
  <c r="B57" i="9"/>
  <c r="C120" i="11" l="1"/>
  <c r="B116" i="11"/>
  <c r="D101" i="11"/>
  <c r="D102" i="11" s="1"/>
  <c r="D100" i="11"/>
  <c r="B98" i="11"/>
  <c r="F97" i="11"/>
  <c r="D97" i="11"/>
  <c r="D98" i="11" s="1"/>
  <c r="F95" i="11"/>
  <c r="D95" i="11"/>
  <c r="I92" i="11" s="1"/>
  <c r="G94" i="11"/>
  <c r="E94" i="11"/>
  <c r="B87" i="11"/>
  <c r="B81" i="11"/>
  <c r="B83" i="11" s="1"/>
  <c r="F98" i="11" s="1"/>
  <c r="B80" i="11"/>
  <c r="B79" i="11"/>
  <c r="C76" i="11"/>
  <c r="B68" i="11"/>
  <c r="B55" i="11"/>
  <c r="D48" i="11"/>
  <c r="D49" i="11" s="1"/>
  <c r="B45" i="11"/>
  <c r="F42" i="11"/>
  <c r="D42" i="11"/>
  <c r="G41" i="11"/>
  <c r="E41" i="11"/>
  <c r="I39" i="11"/>
  <c r="B34" i="11"/>
  <c r="D44" i="11" s="1"/>
  <c r="D45" i="11" s="1"/>
  <c r="B30" i="11"/>
  <c r="C120" i="10"/>
  <c r="B116" i="10"/>
  <c r="D101" i="10"/>
  <c r="D102" i="10" s="1"/>
  <c r="D100" i="10"/>
  <c r="B98" i="10"/>
  <c r="D97" i="10"/>
  <c r="D98" i="10" s="1"/>
  <c r="F95" i="10"/>
  <c r="D95" i="10"/>
  <c r="I92" i="10" s="1"/>
  <c r="G94" i="10"/>
  <c r="E94" i="10"/>
  <c r="B87" i="10"/>
  <c r="F97" i="10" s="1"/>
  <c r="F98" i="10" s="1"/>
  <c r="B81" i="10"/>
  <c r="B83" i="10" s="1"/>
  <c r="B80" i="10"/>
  <c r="B79" i="10"/>
  <c r="C76" i="10"/>
  <c r="B68" i="10"/>
  <c r="B55" i="10"/>
  <c r="B45" i="10"/>
  <c r="D48" i="10" s="1"/>
  <c r="F42" i="10"/>
  <c r="I39" i="10" s="1"/>
  <c r="D42" i="10"/>
  <c r="G41" i="10"/>
  <c r="E41" i="10"/>
  <c r="B34" i="10"/>
  <c r="D44" i="10" s="1"/>
  <c r="D45" i="10" s="1"/>
  <c r="D46" i="10" s="1"/>
  <c r="B30" i="10"/>
  <c r="C120" i="9"/>
  <c r="B116" i="9"/>
  <c r="D101" i="9"/>
  <c r="B98" i="9"/>
  <c r="F97" i="9"/>
  <c r="F98" i="9" s="1"/>
  <c r="F99" i="9" s="1"/>
  <c r="D97" i="9"/>
  <c r="F95" i="9"/>
  <c r="D95" i="9"/>
  <c r="G94" i="9"/>
  <c r="E94" i="9"/>
  <c r="I92" i="9"/>
  <c r="B87" i="9"/>
  <c r="B83" i="9"/>
  <c r="D98" i="9" s="1"/>
  <c r="D99" i="9" s="1"/>
  <c r="B81" i="9"/>
  <c r="B80" i="9"/>
  <c r="B79" i="9"/>
  <c r="C76" i="9"/>
  <c r="B68" i="9"/>
  <c r="B69" i="9"/>
  <c r="B55" i="9"/>
  <c r="B45" i="9"/>
  <c r="D48" i="9" s="1"/>
  <c r="F42" i="9"/>
  <c r="D42" i="9"/>
  <c r="I39" i="9" s="1"/>
  <c r="G41" i="9"/>
  <c r="E41" i="9"/>
  <c r="B34" i="9"/>
  <c r="D44" i="9" s="1"/>
  <c r="D45" i="9" s="1"/>
  <c r="D46" i="9" s="1"/>
  <c r="B30" i="9"/>
  <c r="B53" i="8"/>
  <c r="E51" i="8"/>
  <c r="D51" i="8"/>
  <c r="C51" i="8"/>
  <c r="B51" i="8"/>
  <c r="B52" i="8" s="1"/>
  <c r="E30" i="8"/>
  <c r="D30" i="8"/>
  <c r="C30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50" i="2"/>
  <c r="C49" i="2"/>
  <c r="C46" i="2"/>
  <c r="C45" i="2"/>
  <c r="D43" i="2"/>
  <c r="D41" i="2"/>
  <c r="D39" i="2"/>
  <c r="D37" i="2"/>
  <c r="D36" i="2"/>
  <c r="D35" i="2"/>
  <c r="D33" i="2"/>
  <c r="D32" i="2"/>
  <c r="D31" i="2"/>
  <c r="D29" i="2"/>
  <c r="D28" i="2"/>
  <c r="D27" i="2"/>
  <c r="D26" i="2"/>
  <c r="D25" i="2"/>
  <c r="D24" i="2"/>
  <c r="C19" i="2"/>
  <c r="B69" i="10" l="1"/>
  <c r="B69" i="11"/>
  <c r="D99" i="11"/>
  <c r="E93" i="11"/>
  <c r="G91" i="11"/>
  <c r="G95" i="11" s="1"/>
  <c r="F99" i="11"/>
  <c r="E38" i="11"/>
  <c r="D46" i="11"/>
  <c r="E39" i="11"/>
  <c r="F44" i="11"/>
  <c r="F45" i="11" s="1"/>
  <c r="F46" i="11" s="1"/>
  <c r="G92" i="11"/>
  <c r="G39" i="11"/>
  <c r="E91" i="11"/>
  <c r="G38" i="11"/>
  <c r="E40" i="11"/>
  <c r="E92" i="11"/>
  <c r="G93" i="11"/>
  <c r="F99" i="10"/>
  <c r="G91" i="10"/>
  <c r="G95" i="10" s="1"/>
  <c r="D99" i="10"/>
  <c r="E93" i="10"/>
  <c r="D49" i="10"/>
  <c r="E40" i="10"/>
  <c r="G38" i="10"/>
  <c r="E38" i="10"/>
  <c r="G40" i="10"/>
  <c r="E39" i="10"/>
  <c r="G39" i="10"/>
  <c r="F44" i="10"/>
  <c r="F45" i="10" s="1"/>
  <c r="F46" i="10" s="1"/>
  <c r="G92" i="10"/>
  <c r="E91" i="10"/>
  <c r="E92" i="10"/>
  <c r="G93" i="10"/>
  <c r="D102" i="9"/>
  <c r="G93" i="9"/>
  <c r="E92" i="9"/>
  <c r="E93" i="9"/>
  <c r="G91" i="9"/>
  <c r="E91" i="9"/>
  <c r="G92" i="9"/>
  <c r="D49" i="9"/>
  <c r="E40" i="9"/>
  <c r="E38" i="9"/>
  <c r="E39" i="9"/>
  <c r="F44" i="9"/>
  <c r="F45" i="9" s="1"/>
  <c r="F46" i="9" s="1"/>
  <c r="D50" i="2"/>
  <c r="B49" i="2"/>
  <c r="D42" i="2"/>
  <c r="D38" i="2"/>
  <c r="D34" i="2"/>
  <c r="D30" i="2"/>
  <c r="D49" i="2"/>
  <c r="D40" i="2"/>
  <c r="G42" i="11" l="1"/>
  <c r="D52" i="11"/>
  <c r="D50" i="11"/>
  <c r="E42" i="11"/>
  <c r="E95" i="11"/>
  <c r="D105" i="11"/>
  <c r="D103" i="11"/>
  <c r="G40" i="11"/>
  <c r="D52" i="10"/>
  <c r="D50" i="10"/>
  <c r="E42" i="10"/>
  <c r="E95" i="10"/>
  <c r="D105" i="10"/>
  <c r="D103" i="10"/>
  <c r="G42" i="10"/>
  <c r="E42" i="9"/>
  <c r="G38" i="9"/>
  <c r="G39" i="9"/>
  <c r="D52" i="9" s="1"/>
  <c r="E95" i="9"/>
  <c r="D105" i="9"/>
  <c r="D103" i="9"/>
  <c r="G95" i="9"/>
  <c r="G40" i="9"/>
  <c r="D50" i="9" s="1"/>
  <c r="E112" i="11" l="1"/>
  <c r="F112" i="11" s="1"/>
  <c r="E110" i="11"/>
  <c r="F110" i="11" s="1"/>
  <c r="E108" i="11"/>
  <c r="E113" i="11"/>
  <c r="F113" i="11" s="1"/>
  <c r="E111" i="11"/>
  <c r="F111" i="11" s="1"/>
  <c r="E109" i="11"/>
  <c r="F109" i="11" s="1"/>
  <c r="D104" i="11"/>
  <c r="G68" i="11"/>
  <c r="H68" i="11" s="1"/>
  <c r="G71" i="11"/>
  <c r="H71" i="11" s="1"/>
  <c r="G64" i="11"/>
  <c r="H64" i="11" s="1"/>
  <c r="G60" i="11"/>
  <c r="G69" i="11"/>
  <c r="H69" i="11" s="1"/>
  <c r="D51" i="11"/>
  <c r="G70" i="11"/>
  <c r="H70" i="11" s="1"/>
  <c r="G67" i="11"/>
  <c r="H67" i="11" s="1"/>
  <c r="G65" i="11"/>
  <c r="H65" i="11" s="1"/>
  <c r="G63" i="11"/>
  <c r="H63" i="11" s="1"/>
  <c r="G61" i="11"/>
  <c r="H61" i="11" s="1"/>
  <c r="G66" i="11"/>
  <c r="H66" i="11" s="1"/>
  <c r="G62" i="11"/>
  <c r="H62" i="11" s="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G68" i="10"/>
  <c r="H68" i="10" s="1"/>
  <c r="G66" i="10"/>
  <c r="H66" i="10" s="1"/>
  <c r="G64" i="10"/>
  <c r="H64" i="10" s="1"/>
  <c r="G62" i="10"/>
  <c r="H62" i="10" s="1"/>
  <c r="G69" i="10"/>
  <c r="H69" i="10" s="1"/>
  <c r="D51" i="10"/>
  <c r="G70" i="10"/>
  <c r="H70" i="10" s="1"/>
  <c r="G67" i="10"/>
  <c r="H67" i="10" s="1"/>
  <c r="G65" i="10"/>
  <c r="H65" i="10" s="1"/>
  <c r="G63" i="10"/>
  <c r="H63" i="10" s="1"/>
  <c r="G61" i="10"/>
  <c r="H61" i="10" s="1"/>
  <c r="G71" i="10"/>
  <c r="H71" i="10" s="1"/>
  <c r="G60" i="10"/>
  <c r="G68" i="9"/>
  <c r="H68" i="9" s="1"/>
  <c r="G71" i="9"/>
  <c r="H71" i="9" s="1"/>
  <c r="G69" i="9"/>
  <c r="H69" i="9" s="1"/>
  <c r="G66" i="9"/>
  <c r="H66" i="9" s="1"/>
  <c r="G64" i="9"/>
  <c r="H64" i="9" s="1"/>
  <c r="G62" i="9"/>
  <c r="H62" i="9" s="1"/>
  <c r="G60" i="9"/>
  <c r="D51" i="9"/>
  <c r="G70" i="9"/>
  <c r="H70" i="9" s="1"/>
  <c r="G67" i="9"/>
  <c r="H67" i="9" s="1"/>
  <c r="G65" i="9"/>
  <c r="H65" i="9" s="1"/>
  <c r="G63" i="9"/>
  <c r="H63" i="9" s="1"/>
  <c r="G61" i="9"/>
  <c r="H61" i="9" s="1"/>
  <c r="E112" i="9"/>
  <c r="F112" i="9" s="1"/>
  <c r="E110" i="9"/>
  <c r="F110" i="9" s="1"/>
  <c r="E108" i="9"/>
  <c r="E113" i="9"/>
  <c r="F113" i="9" s="1"/>
  <c r="E111" i="9"/>
  <c r="F111" i="9" s="1"/>
  <c r="E109" i="9"/>
  <c r="F109" i="9" s="1"/>
  <c r="D104" i="9"/>
  <c r="G42" i="9"/>
  <c r="H60" i="11" l="1"/>
  <c r="G74" i="11"/>
  <c r="G72" i="11"/>
  <c r="G73" i="11" s="1"/>
  <c r="E115" i="11"/>
  <c r="E116" i="11" s="1"/>
  <c r="E117" i="11"/>
  <c r="F108" i="11"/>
  <c r="E115" i="10"/>
  <c r="E116" i="10" s="1"/>
  <c r="E117" i="10"/>
  <c r="F108" i="10"/>
  <c r="H60" i="10"/>
  <c r="G74" i="10"/>
  <c r="G72" i="10"/>
  <c r="G73" i="10" s="1"/>
  <c r="G74" i="9"/>
  <c r="G72" i="9"/>
  <c r="G73" i="9" s="1"/>
  <c r="H60" i="9"/>
  <c r="E115" i="9"/>
  <c r="E116" i="9" s="1"/>
  <c r="E117" i="9"/>
  <c r="F108" i="9"/>
  <c r="F117" i="11" l="1"/>
  <c r="F115" i="11"/>
  <c r="H74" i="11"/>
  <c r="H72" i="11"/>
  <c r="F117" i="10"/>
  <c r="F115" i="10"/>
  <c r="H74" i="10"/>
  <c r="H72" i="10"/>
  <c r="H72" i="9"/>
  <c r="H74" i="9"/>
  <c r="F117" i="9"/>
  <c r="F115" i="9"/>
  <c r="G120" i="11" l="1"/>
  <c r="F116" i="11"/>
  <c r="G76" i="11"/>
  <c r="H73" i="11"/>
  <c r="G76" i="10"/>
  <c r="H73" i="10"/>
  <c r="G120" i="10"/>
  <c r="F116" i="10"/>
  <c r="H73" i="9"/>
  <c r="G76" i="9"/>
  <c r="G120" i="9"/>
  <c r="F116" i="9"/>
</calcChain>
</file>

<file path=xl/sharedStrings.xml><?xml version="1.0" encoding="utf-8"?>
<sst xmlns="http://schemas.openxmlformats.org/spreadsheetml/2006/main" count="644" uniqueCount="146">
  <si>
    <t>HPLC System Suitability Report</t>
  </si>
  <si>
    <t>Analysis Data</t>
  </si>
  <si>
    <t>Assay</t>
  </si>
  <si>
    <t>Sample(s)</t>
  </si>
  <si>
    <t>Reference Substance:</t>
  </si>
  <si>
    <t>RIFAMPICIN, ISONIAZIDE AND PYRAZINAMIDE TABLETS</t>
  </si>
  <si>
    <t>% age Purity:</t>
  </si>
  <si>
    <t>NDQD2016061103</t>
  </si>
  <si>
    <t>Weight (mg):</t>
  </si>
  <si>
    <t>Rifampicin, Pyrazinamide, Isoniazid</t>
  </si>
  <si>
    <t>Standard Conc (mg/mL):</t>
  </si>
  <si>
    <t>Rifampicin BP 60 mg, Isoniazid BP 30 mg, Pyrazinamide BP 150 mg</t>
  </si>
  <si>
    <t>2016-06-10 06:45:58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</si>
  <si>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</si>
  <si>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</si>
  <si>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</si>
  <si>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</si>
  <si>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</si>
  <si>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</si>
  <si>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</si>
  <si>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</si>
  <si>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</si>
  <si>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</si>
  <si>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</si>
  <si>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</si>
  <si>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</si>
  <si>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</si>
  <si>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</si>
  <si>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</si>
  <si>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</si>
  <si>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</si>
  <si>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</si>
  <si>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</si>
  <si>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</si>
  <si>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</si>
  <si>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</si>
  <si>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</si>
  <si>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</si>
  <si>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</si>
  <si>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</si>
  <si>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</si>
  <si>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</si>
  <si>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</si>
  <si>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</si>
  <si>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</si>
  <si>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</si>
  <si>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</si>
  <si>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</si>
  <si>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</si>
  <si>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</si>
  <si>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</si>
  <si>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</si>
  <si>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</si>
  <si>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</si>
  <si>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</si>
  <si>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</si>
  <si>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</si>
  <si>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</si>
  <si>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</si>
  <si>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</si>
  <si>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</si>
  <si>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</si>
  <si>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</si>
  <si>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</si>
  <si>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</si>
  <si>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</si>
  <si>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</si>
  <si>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</si>
  <si>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</si>
  <si>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</si>
  <si>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</si>
  <si>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</si>
  <si>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</si>
  <si>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</si>
  <si>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</si>
  <si>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</si>
  <si>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</si>
  <si>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</si>
  <si>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</si>
  <si>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</si>
  <si>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</si>
  <si>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</si>
  <si>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</si>
  <si>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</si>
  <si>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</si>
  <si>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</si>
  <si>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</si>
  <si>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</si>
  <si>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</si>
  <si>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</si>
  <si>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</si>
  <si>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</si>
  <si>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</si>
  <si>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</si>
  <si>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</si>
  <si>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</si>
  <si>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</si>
  <si>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</si>
  <si>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</si>
  <si>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</si>
  <si>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</si>
  <si>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</si>
  <si>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</si>
  <si>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</si>
  <si>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</si>
  <si>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</si>
  <si>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</si>
  <si>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</si>
  <si>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</si>
  <si>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</si>
  <si>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</si>
  <si>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</si>
  <si>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</si>
  <si>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</si>
  <si>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</si>
  <si>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</si>
  <si>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</si>
  <si>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</si>
  <si>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</si>
  <si>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</si>
  <si>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</si>
  <si>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</si>
  <si>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</si>
  <si>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</si>
  <si>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</si>
  <si>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 60MG, ISONIAZID 30MG, PYRAZINAMIDE 150MG.</t>
  </si>
  <si>
    <t xml:space="preserve">Rifampicin, Isoniazid, Pyrazinamide 
</t>
  </si>
  <si>
    <t xml:space="preserve">Rifampicin 60mg, Isoniazid 30mg, Pyrazinamide 150mg 
</t>
  </si>
  <si>
    <t>Isoniazid</t>
  </si>
  <si>
    <t>I8-2</t>
  </si>
  <si>
    <t>Pyrazinamide</t>
  </si>
  <si>
    <t>P19-1</t>
  </si>
  <si>
    <t>Rifampicin</t>
  </si>
  <si>
    <t>R5-1</t>
  </si>
  <si>
    <t xml:space="preserve"> ISONIAZID </t>
  </si>
  <si>
    <t>PYRAZINAMIDE</t>
  </si>
  <si>
    <t>RIFAMPICIN</t>
  </si>
  <si>
    <t>RIFAMPICIN 60 mg, ISONIAZID 30 mg, PYRAZINAMIDE 150 mg.</t>
  </si>
  <si>
    <t xml:space="preserve">Rifampicin 60 mg, Isoniazid 30 mg, Pyrazinamide 150 mg 
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</si>
  <si>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</si>
  <si>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6000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</si>
  <si>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50000</t>
    </r>
  </si>
  <si>
    <t>RIFAMPICIN 60 mg, ISONIAZID 30 mg, PYRAZINAMIDE 150 mg TABLETS.</t>
  </si>
  <si>
    <t>Average Tablet Weight (mg):</t>
  </si>
  <si>
    <t>Tablet No.</t>
  </si>
  <si>
    <t>Tablet 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</si>
</sst>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1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 wrapText="1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0" fontId="11" fillId="2" borderId="30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4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0" xfId="3" applyFont="1" applyFill="1" applyBorder="1" applyAlignment="1">
      <alignment horizontal="center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protection locked="0"/>
    </xf>
    <xf numFmtId="173" fontId="7" fillId="3" borderId="3" xfId="1" applyNumberFormat="1" applyFont="1" applyFill="1" applyBorder="1" applyAlignment="1" applyProtection="1">
      <alignment horizontal="center"/>
      <protection locked="0"/>
    </xf>
    <xf numFmtId="173" fontId="7" fillId="3" borderId="4" xfId="1" applyNumberFormat="1" applyFont="1" applyFill="1" applyBorder="1" applyAlignment="1" applyProtection="1">
      <alignment horizontal="center"/>
      <protection locked="0"/>
    </xf>
    <xf numFmtId="173" fontId="7" fillId="3" borderId="5" xfId="1" applyNumberFormat="1" applyFont="1" applyFill="1" applyBorder="1" applyAlignment="1" applyProtection="1">
      <alignment horizontal="center"/>
      <protection locked="0"/>
    </xf>
    <xf numFmtId="166" fontId="5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protection locked="0"/>
    </xf>
    <xf numFmtId="2" fontId="11" fillId="2" borderId="26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2" fontId="11" fillId="2" borderId="35" xfId="1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B57" sqref="B57"/>
    </sheetView>
  </sheetViews>
  <sheetFormatPr defaultColWidth="9.109375" defaultRowHeight="13.8" x14ac:dyDescent="0.3"/>
  <cols>
    <col min="1" max="1" width="27.5546875" style="49" customWidth="1"/>
    <col min="2" max="2" width="20.44140625" style="49" customWidth="1"/>
    <col min="3" max="3" width="31.88671875" style="49" customWidth="1"/>
    <col min="4" max="4" width="25.88671875" style="49" customWidth="1"/>
    <col min="5" max="5" width="25.6640625" style="49" customWidth="1"/>
    <col min="6" max="6" width="23.109375" style="49" customWidth="1"/>
    <col min="7" max="7" width="28.44140625" style="49" customWidth="1"/>
    <col min="8" max="8" width="21.5546875" style="49" customWidth="1"/>
    <col min="9" max="9" width="9.109375" style="49" customWidth="1"/>
    <col min="10" max="16384" width="9.10937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5">
      <c r="A15" s="583" t="s">
        <v>0</v>
      </c>
      <c r="B15" s="583"/>
      <c r="C15" s="583"/>
      <c r="D15" s="583"/>
      <c r="E15" s="583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134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8">
        <v>9.86</v>
      </c>
      <c r="C20" s="55"/>
      <c r="D20" s="55"/>
      <c r="E20" s="55"/>
    </row>
    <row r="21" spans="1:5" ht="16.5" customHeight="1" x14ac:dyDescent="0.3">
      <c r="A21" s="53" t="s">
        <v>10</v>
      </c>
      <c r="B21" s="714">
        <f>B20/100</f>
        <v>9.8599999999999993E-2</v>
      </c>
      <c r="C21" s="55"/>
      <c r="D21" s="55"/>
      <c r="E21" s="55"/>
    </row>
    <row r="22" spans="1:5" ht="15.75" customHeight="1" x14ac:dyDescent="0.3">
      <c r="A22" s="55"/>
      <c r="B22" s="60"/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7666869</v>
      </c>
      <c r="C24" s="64">
        <v>13465.5</v>
      </c>
      <c r="D24" s="711">
        <v>1.1000000000000001</v>
      </c>
      <c r="E24" s="712">
        <v>5</v>
      </c>
    </row>
    <row r="25" spans="1:5" ht="16.5" customHeight="1" x14ac:dyDescent="0.3">
      <c r="A25" s="63">
        <v>2</v>
      </c>
      <c r="B25" s="64">
        <v>7685770</v>
      </c>
      <c r="C25" s="64">
        <v>12589.1</v>
      </c>
      <c r="D25" s="711">
        <v>1.2</v>
      </c>
      <c r="E25" s="711">
        <v>4.9000000000000004</v>
      </c>
    </row>
    <row r="26" spans="1:5" ht="16.5" customHeight="1" x14ac:dyDescent="0.3">
      <c r="A26" s="63">
        <v>3</v>
      </c>
      <c r="B26" s="64">
        <v>7690429</v>
      </c>
      <c r="C26" s="64">
        <v>12803.9</v>
      </c>
      <c r="D26" s="711">
        <v>1.1000000000000001</v>
      </c>
      <c r="E26" s="711">
        <v>4.9000000000000004</v>
      </c>
    </row>
    <row r="27" spans="1:5" ht="16.5" customHeight="1" x14ac:dyDescent="0.3">
      <c r="A27" s="63">
        <v>4</v>
      </c>
      <c r="B27" s="64">
        <v>7689427</v>
      </c>
      <c r="C27" s="64">
        <v>12731.6</v>
      </c>
      <c r="D27" s="711">
        <v>1.2</v>
      </c>
      <c r="E27" s="711">
        <v>4.9000000000000004</v>
      </c>
    </row>
    <row r="28" spans="1:5" ht="16.5" customHeight="1" x14ac:dyDescent="0.3">
      <c r="A28" s="63">
        <v>5</v>
      </c>
      <c r="B28" s="64">
        <v>7689148</v>
      </c>
      <c r="C28" s="64">
        <v>12737.3</v>
      </c>
      <c r="D28" s="711">
        <v>1.2</v>
      </c>
      <c r="E28" s="711">
        <v>4.9000000000000004</v>
      </c>
    </row>
    <row r="29" spans="1:5" ht="16.5" customHeight="1" x14ac:dyDescent="0.3">
      <c r="A29" s="63">
        <v>6</v>
      </c>
      <c r="B29" s="67">
        <v>7687659</v>
      </c>
      <c r="C29" s="67">
        <v>12742</v>
      </c>
      <c r="D29" s="713">
        <v>1.2</v>
      </c>
      <c r="E29" s="713">
        <v>4.9000000000000004</v>
      </c>
    </row>
    <row r="30" spans="1:5" ht="16.5" customHeight="1" x14ac:dyDescent="0.3">
      <c r="A30" s="69" t="s">
        <v>18</v>
      </c>
      <c r="B30" s="70">
        <f>AVERAGE(B24:B29)</f>
        <v>7684883.666666667</v>
      </c>
      <c r="C30" s="71">
        <f>AVERAGE(C24:C29)</f>
        <v>12844.9</v>
      </c>
      <c r="D30" s="72">
        <f>AVERAGE(D24:D29)</f>
        <v>1.1666666666666667</v>
      </c>
      <c r="E30" s="72">
        <f>AVERAGE(E24:E29)</f>
        <v>4.916666666666667</v>
      </c>
    </row>
    <row r="31" spans="1:5" ht="16.5" customHeight="1" x14ac:dyDescent="0.3">
      <c r="A31" s="73" t="s">
        <v>19</v>
      </c>
      <c r="B31" s="74">
        <f>(STDEV(B24:B29)/B30)</f>
        <v>1.1676455647052846E-3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3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140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3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134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98.5</v>
      </c>
      <c r="C40" s="55"/>
      <c r="D40" s="55"/>
      <c r="E40" s="55"/>
    </row>
    <row r="41" spans="1:5" ht="16.5" customHeight="1" x14ac:dyDescent="0.3">
      <c r="A41" s="53" t="s">
        <v>8</v>
      </c>
      <c r="B41" s="57">
        <f>B20</f>
        <v>9.86</v>
      </c>
      <c r="C41" s="55"/>
      <c r="D41" s="55"/>
      <c r="E41" s="55"/>
    </row>
    <row r="42" spans="1:5" ht="16.5" customHeight="1" x14ac:dyDescent="0.3">
      <c r="A42" s="53" t="s">
        <v>10</v>
      </c>
      <c r="B42" s="714">
        <f>B21</f>
        <v>9.8599999999999993E-2</v>
      </c>
      <c r="C42" s="55"/>
      <c r="D42" s="55"/>
      <c r="E42" s="55"/>
    </row>
    <row r="43" spans="1:5" ht="15.75" customHeight="1" x14ac:dyDescent="0.3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7666869</v>
      </c>
      <c r="C45" s="64">
        <v>13465.5</v>
      </c>
      <c r="D45" s="65">
        <v>1.1000000000000001</v>
      </c>
      <c r="E45" s="66">
        <v>5</v>
      </c>
    </row>
    <row r="46" spans="1:5" ht="16.5" customHeight="1" x14ac:dyDescent="0.3">
      <c r="A46" s="63">
        <v>2</v>
      </c>
      <c r="B46" s="64">
        <v>7685770</v>
      </c>
      <c r="C46" s="64">
        <v>12589.1</v>
      </c>
      <c r="D46" s="65">
        <v>1.2</v>
      </c>
      <c r="E46" s="65">
        <v>4.9000000000000004</v>
      </c>
    </row>
    <row r="47" spans="1:5" ht="16.5" customHeight="1" x14ac:dyDescent="0.3">
      <c r="A47" s="63">
        <v>3</v>
      </c>
      <c r="B47" s="64">
        <v>7690429</v>
      </c>
      <c r="C47" s="64">
        <v>12803.9</v>
      </c>
      <c r="D47" s="65">
        <v>1.1000000000000001</v>
      </c>
      <c r="E47" s="65">
        <v>4.9000000000000004</v>
      </c>
    </row>
    <row r="48" spans="1:5" ht="16.5" customHeight="1" x14ac:dyDescent="0.3">
      <c r="A48" s="63">
        <v>4</v>
      </c>
      <c r="B48" s="64">
        <v>7689427</v>
      </c>
      <c r="C48" s="64">
        <v>12731.6</v>
      </c>
      <c r="D48" s="65">
        <v>1.2</v>
      </c>
      <c r="E48" s="65">
        <v>4.9000000000000004</v>
      </c>
    </row>
    <row r="49" spans="1:7" ht="16.5" customHeight="1" x14ac:dyDescent="0.3">
      <c r="A49" s="63">
        <v>5</v>
      </c>
      <c r="B49" s="64">
        <v>7689148</v>
      </c>
      <c r="C49" s="64">
        <v>12737.3</v>
      </c>
      <c r="D49" s="65">
        <v>1.2</v>
      </c>
      <c r="E49" s="65">
        <v>4.9000000000000004</v>
      </c>
    </row>
    <row r="50" spans="1:7" ht="16.5" customHeight="1" x14ac:dyDescent="0.3">
      <c r="A50" s="63">
        <v>6</v>
      </c>
      <c r="B50" s="67">
        <v>7687659</v>
      </c>
      <c r="C50" s="67">
        <v>12742</v>
      </c>
      <c r="D50" s="68">
        <v>1.2</v>
      </c>
      <c r="E50" s="68">
        <v>4.9000000000000004</v>
      </c>
    </row>
    <row r="51" spans="1:7" ht="16.5" customHeight="1" x14ac:dyDescent="0.3">
      <c r="A51" s="69" t="s">
        <v>18</v>
      </c>
      <c r="B51" s="70">
        <f>AVERAGE(B45:B50)</f>
        <v>7684883.666666667</v>
      </c>
      <c r="C51" s="71">
        <f>AVERAGE(C45:C50)</f>
        <v>12844.9</v>
      </c>
      <c r="D51" s="72">
        <f>AVERAGE(D45:D50)</f>
        <v>1.1666666666666667</v>
      </c>
      <c r="E51" s="72">
        <f>AVERAGE(E45:E50)</f>
        <v>4.916666666666667</v>
      </c>
    </row>
    <row r="52" spans="1:7" ht="16.5" customHeight="1" x14ac:dyDescent="0.3">
      <c r="A52" s="73" t="s">
        <v>19</v>
      </c>
      <c r="B52" s="74">
        <f>(STDEV(B45:B50)/B51)</f>
        <v>1.1676455647052846E-3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3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140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5">
      <c r="A58" s="84"/>
      <c r="B58" s="85"/>
      <c r="D58" s="86"/>
      <c r="F58" s="87"/>
      <c r="G58" s="87"/>
    </row>
    <row r="59" spans="1:7" ht="15" customHeight="1" x14ac:dyDescent="0.3">
      <c r="B59" s="584" t="s">
        <v>26</v>
      </c>
      <c r="C59" s="584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36" sqref="B36"/>
    </sheetView>
  </sheetViews>
  <sheetFormatPr defaultColWidth="9.109375" defaultRowHeight="13.8" x14ac:dyDescent="0.3"/>
  <cols>
    <col min="1" max="1" width="27.5546875" style="49" customWidth="1"/>
    <col min="2" max="2" width="20.44140625" style="49" customWidth="1"/>
    <col min="3" max="3" width="31.88671875" style="49" customWidth="1"/>
    <col min="4" max="4" width="25.88671875" style="49" customWidth="1"/>
    <col min="5" max="5" width="25.6640625" style="49" customWidth="1"/>
    <col min="6" max="6" width="23.109375" style="49" customWidth="1"/>
    <col min="7" max="7" width="28.44140625" style="49" customWidth="1"/>
    <col min="8" max="8" width="21.5546875" style="49" customWidth="1"/>
    <col min="9" max="9" width="9.109375" style="49" customWidth="1"/>
    <col min="10" max="16384" width="9.10937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5">
      <c r="A15" s="583" t="s">
        <v>0</v>
      </c>
      <c r="B15" s="583"/>
      <c r="C15" s="583"/>
      <c r="D15" s="583"/>
      <c r="E15" s="583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135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43.25</v>
      </c>
      <c r="C20" s="55"/>
      <c r="D20" s="55"/>
      <c r="E20" s="55"/>
    </row>
    <row r="21" spans="1:5" ht="16.5" customHeight="1" x14ac:dyDescent="0.3">
      <c r="A21" s="53" t="s">
        <v>10</v>
      </c>
      <c r="B21" s="59">
        <v>0.4325</v>
      </c>
      <c r="C21" s="55"/>
      <c r="D21" s="55"/>
      <c r="E21" s="55"/>
    </row>
    <row r="22" spans="1:5" ht="15.75" customHeight="1" x14ac:dyDescent="0.3">
      <c r="A22" s="55"/>
      <c r="B22" s="60"/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21689687</v>
      </c>
      <c r="C24" s="64">
        <v>12644.9</v>
      </c>
      <c r="D24" s="711">
        <v>1.2</v>
      </c>
      <c r="E24" s="712">
        <v>5.7</v>
      </c>
    </row>
    <row r="25" spans="1:5" ht="16.5" customHeight="1" x14ac:dyDescent="0.3">
      <c r="A25" s="63">
        <v>2</v>
      </c>
      <c r="B25" s="64">
        <v>21668472</v>
      </c>
      <c r="C25" s="64">
        <v>12367.1</v>
      </c>
      <c r="D25" s="711">
        <v>1.2</v>
      </c>
      <c r="E25" s="711">
        <v>5.7</v>
      </c>
    </row>
    <row r="26" spans="1:5" ht="16.5" customHeight="1" x14ac:dyDescent="0.3">
      <c r="A26" s="63">
        <v>3</v>
      </c>
      <c r="B26" s="64">
        <v>21674990</v>
      </c>
      <c r="C26" s="64">
        <v>12242.6</v>
      </c>
      <c r="D26" s="711">
        <v>1.2</v>
      </c>
      <c r="E26" s="711">
        <v>5.7</v>
      </c>
    </row>
    <row r="27" spans="1:5" ht="16.5" customHeight="1" x14ac:dyDescent="0.3">
      <c r="A27" s="63">
        <v>4</v>
      </c>
      <c r="B27" s="64">
        <v>21674317</v>
      </c>
      <c r="C27" s="64">
        <v>12234.7</v>
      </c>
      <c r="D27" s="711">
        <v>1.2</v>
      </c>
      <c r="E27" s="711">
        <v>5.7</v>
      </c>
    </row>
    <row r="28" spans="1:5" ht="16.5" customHeight="1" x14ac:dyDescent="0.3">
      <c r="A28" s="63">
        <v>5</v>
      </c>
      <c r="B28" s="64">
        <v>21665103</v>
      </c>
      <c r="C28" s="64">
        <v>12232.5</v>
      </c>
      <c r="D28" s="711">
        <v>1.2</v>
      </c>
      <c r="E28" s="711">
        <v>5.7</v>
      </c>
    </row>
    <row r="29" spans="1:5" ht="16.5" customHeight="1" x14ac:dyDescent="0.3">
      <c r="A29" s="63">
        <v>6</v>
      </c>
      <c r="B29" s="67">
        <v>21653799</v>
      </c>
      <c r="C29" s="67">
        <v>12236.6</v>
      </c>
      <c r="D29" s="713">
        <v>1.2</v>
      </c>
      <c r="E29" s="713">
        <v>5.7</v>
      </c>
    </row>
    <row r="30" spans="1:5" ht="16.5" customHeight="1" x14ac:dyDescent="0.3">
      <c r="A30" s="69" t="s">
        <v>18</v>
      </c>
      <c r="B30" s="70">
        <f>AVERAGE(B24:B29)</f>
        <v>21671061.333333332</v>
      </c>
      <c r="C30" s="71">
        <f>AVERAGE(C24:C29)</f>
        <v>12326.400000000001</v>
      </c>
      <c r="D30" s="72">
        <f>AVERAGE(D24:D29)</f>
        <v>1.2</v>
      </c>
      <c r="E30" s="72">
        <f>AVERAGE(E24:E29)</f>
        <v>5.7</v>
      </c>
    </row>
    <row r="31" spans="1:5" ht="16.5" customHeight="1" x14ac:dyDescent="0.3">
      <c r="A31" s="73" t="s">
        <v>19</v>
      </c>
      <c r="B31" s="74">
        <f>(STDEV(B24:B29)/B30)</f>
        <v>5.5109106063154533E-4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3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139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3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135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43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0.43</v>
      </c>
      <c r="C42" s="55"/>
      <c r="D42" s="55"/>
      <c r="E42" s="55"/>
    </row>
    <row r="43" spans="1:5" ht="15.75" customHeight="1" x14ac:dyDescent="0.3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21689687</v>
      </c>
      <c r="C45" s="64">
        <v>12644.9</v>
      </c>
      <c r="D45" s="65">
        <v>1.2</v>
      </c>
      <c r="E45" s="66">
        <v>5.7</v>
      </c>
    </row>
    <row r="46" spans="1:5" ht="16.5" customHeight="1" x14ac:dyDescent="0.3">
      <c r="A46" s="63">
        <v>2</v>
      </c>
      <c r="B46" s="64">
        <v>21668472</v>
      </c>
      <c r="C46" s="64">
        <v>12367.1</v>
      </c>
      <c r="D46" s="65">
        <v>1.2</v>
      </c>
      <c r="E46" s="65">
        <v>5.7</v>
      </c>
    </row>
    <row r="47" spans="1:5" ht="16.5" customHeight="1" x14ac:dyDescent="0.3">
      <c r="A47" s="63">
        <v>3</v>
      </c>
      <c r="B47" s="64">
        <v>21674990</v>
      </c>
      <c r="C47" s="64">
        <v>12242.6</v>
      </c>
      <c r="D47" s="65">
        <v>1.2</v>
      </c>
      <c r="E47" s="65">
        <v>5.7</v>
      </c>
    </row>
    <row r="48" spans="1:5" ht="16.5" customHeight="1" x14ac:dyDescent="0.3">
      <c r="A48" s="63">
        <v>4</v>
      </c>
      <c r="B48" s="64">
        <v>21674317</v>
      </c>
      <c r="C48" s="64">
        <v>12234.7</v>
      </c>
      <c r="D48" s="65">
        <v>1.2</v>
      </c>
      <c r="E48" s="65">
        <v>5.7</v>
      </c>
    </row>
    <row r="49" spans="1:7" ht="16.5" customHeight="1" x14ac:dyDescent="0.3">
      <c r="A49" s="63">
        <v>5</v>
      </c>
      <c r="B49" s="64">
        <v>21665103</v>
      </c>
      <c r="C49" s="64">
        <v>12232.5</v>
      </c>
      <c r="D49" s="65">
        <v>1.2</v>
      </c>
      <c r="E49" s="65">
        <v>5.7</v>
      </c>
    </row>
    <row r="50" spans="1:7" ht="16.5" customHeight="1" x14ac:dyDescent="0.3">
      <c r="A50" s="63">
        <v>6</v>
      </c>
      <c r="B50" s="67">
        <v>21653799</v>
      </c>
      <c r="C50" s="67">
        <v>12236.6</v>
      </c>
      <c r="D50" s="68">
        <v>1.2</v>
      </c>
      <c r="E50" s="68">
        <v>5.7</v>
      </c>
    </row>
    <row r="51" spans="1:7" ht="16.5" customHeight="1" x14ac:dyDescent="0.3">
      <c r="A51" s="69" t="s">
        <v>18</v>
      </c>
      <c r="B51" s="70">
        <f>AVERAGE(B45:B50)</f>
        <v>21671061.333333332</v>
      </c>
      <c r="C51" s="71">
        <f>AVERAGE(C45:C50)</f>
        <v>12326.400000000001</v>
      </c>
      <c r="D51" s="72">
        <f>AVERAGE(D45:D50)</f>
        <v>1.2</v>
      </c>
      <c r="E51" s="72">
        <f>AVERAGE(E45:E50)</f>
        <v>5.7</v>
      </c>
    </row>
    <row r="52" spans="1:7" ht="16.5" customHeight="1" x14ac:dyDescent="0.3">
      <c r="A52" s="73" t="s">
        <v>19</v>
      </c>
      <c r="B52" s="74">
        <f>(STDEV(B45:B50)/B51)</f>
        <v>5.5109106063154533E-4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3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5">
      <c r="A58" s="84"/>
      <c r="B58" s="85"/>
      <c r="D58" s="86"/>
      <c r="F58" s="87"/>
      <c r="G58" s="87"/>
    </row>
    <row r="59" spans="1:7" ht="15" customHeight="1" x14ac:dyDescent="0.3">
      <c r="B59" s="584" t="s">
        <v>26</v>
      </c>
      <c r="C59" s="584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42" sqref="E42"/>
    </sheetView>
  </sheetViews>
  <sheetFormatPr defaultColWidth="9.109375" defaultRowHeight="13.8" x14ac:dyDescent="0.3"/>
  <cols>
    <col min="1" max="1" width="27.5546875" style="49" customWidth="1"/>
    <col min="2" max="2" width="20.44140625" style="49" customWidth="1"/>
    <col min="3" max="3" width="31.88671875" style="49" customWidth="1"/>
    <col min="4" max="4" width="25.88671875" style="49" customWidth="1"/>
    <col min="5" max="5" width="25.6640625" style="49" customWidth="1"/>
    <col min="6" max="6" width="23.109375" style="49" customWidth="1"/>
    <col min="7" max="7" width="28.44140625" style="49" customWidth="1"/>
    <col min="8" max="8" width="21.5546875" style="49" customWidth="1"/>
    <col min="9" max="9" width="9.109375" style="49" customWidth="1"/>
    <col min="10" max="16384" width="9.109375" style="87"/>
  </cols>
  <sheetData>
    <row r="14" spans="1:6" ht="15" customHeight="1" x14ac:dyDescent="0.3">
      <c r="A14" s="48"/>
      <c r="C14" s="50"/>
      <c r="F14" s="50"/>
    </row>
    <row r="15" spans="1:6" ht="18.75" customHeight="1" x14ac:dyDescent="0.35">
      <c r="A15" s="583" t="s">
        <v>0</v>
      </c>
      <c r="B15" s="583"/>
      <c r="C15" s="583"/>
      <c r="D15" s="583"/>
      <c r="E15" s="583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136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99.6</v>
      </c>
      <c r="C19" s="55"/>
      <c r="D19" s="55"/>
      <c r="E19" s="55"/>
    </row>
    <row r="20" spans="1:5" ht="16.5" customHeight="1" x14ac:dyDescent="0.3">
      <c r="A20" s="53" t="s">
        <v>8</v>
      </c>
      <c r="B20" s="57">
        <v>17.760000000000002</v>
      </c>
      <c r="C20" s="55"/>
      <c r="D20" s="55"/>
      <c r="E20" s="55"/>
    </row>
    <row r="21" spans="1:5" ht="16.5" customHeight="1" x14ac:dyDescent="0.3">
      <c r="A21" s="53" t="s">
        <v>10</v>
      </c>
      <c r="B21" s="714">
        <f>B20/100</f>
        <v>0.17760000000000001</v>
      </c>
      <c r="C21" s="55"/>
      <c r="D21" s="55"/>
      <c r="E21" s="55"/>
    </row>
    <row r="22" spans="1:5" ht="15.75" customHeight="1" x14ac:dyDescent="0.3">
      <c r="A22" s="55"/>
      <c r="B22" s="60">
        <v>42531.66033564815</v>
      </c>
      <c r="C22" s="55"/>
      <c r="D22" s="55"/>
      <c r="E22" s="55"/>
    </row>
    <row r="23" spans="1:5" ht="16.5" customHeight="1" x14ac:dyDescent="0.3">
      <c r="A23" s="61" t="s">
        <v>13</v>
      </c>
      <c r="B23" s="62" t="s">
        <v>14</v>
      </c>
      <c r="C23" s="61" t="s">
        <v>15</v>
      </c>
      <c r="D23" s="61" t="s">
        <v>16</v>
      </c>
      <c r="E23" s="61" t="s">
        <v>17</v>
      </c>
    </row>
    <row r="24" spans="1:5" ht="16.5" customHeight="1" x14ac:dyDescent="0.3">
      <c r="A24" s="63">
        <v>1</v>
      </c>
      <c r="B24" s="64">
        <v>7644767</v>
      </c>
      <c r="C24" s="64">
        <v>66024.100000000006</v>
      </c>
      <c r="D24" s="711">
        <v>1.1000000000000001</v>
      </c>
      <c r="E24" s="712">
        <v>9.3000000000000007</v>
      </c>
    </row>
    <row r="25" spans="1:5" ht="16.5" customHeight="1" x14ac:dyDescent="0.3">
      <c r="A25" s="63">
        <v>2</v>
      </c>
      <c r="B25" s="64">
        <v>7589467</v>
      </c>
      <c r="C25" s="64">
        <v>66129.2</v>
      </c>
      <c r="D25" s="711">
        <v>1.1000000000000001</v>
      </c>
      <c r="E25" s="711">
        <v>9.3000000000000007</v>
      </c>
    </row>
    <row r="26" spans="1:5" ht="16.5" customHeight="1" x14ac:dyDescent="0.3">
      <c r="A26" s="63">
        <v>3</v>
      </c>
      <c r="B26" s="64">
        <v>7549143</v>
      </c>
      <c r="C26" s="64">
        <v>66240.399999999994</v>
      </c>
      <c r="D26" s="711">
        <v>1.1000000000000001</v>
      </c>
      <c r="E26" s="711">
        <v>9.3000000000000007</v>
      </c>
    </row>
    <row r="27" spans="1:5" ht="16.5" customHeight="1" x14ac:dyDescent="0.3">
      <c r="A27" s="63">
        <v>4</v>
      </c>
      <c r="B27" s="64">
        <v>7530658</v>
      </c>
      <c r="C27" s="64">
        <v>66473.899999999994</v>
      </c>
      <c r="D27" s="711">
        <v>1.1000000000000001</v>
      </c>
      <c r="E27" s="711">
        <v>9.3000000000000007</v>
      </c>
    </row>
    <row r="28" spans="1:5" ht="16.5" customHeight="1" x14ac:dyDescent="0.3">
      <c r="A28" s="63">
        <v>5</v>
      </c>
      <c r="B28" s="64">
        <v>7502031</v>
      </c>
      <c r="C28" s="64">
        <v>66455.399999999994</v>
      </c>
      <c r="D28" s="711">
        <v>1.1000000000000001</v>
      </c>
      <c r="E28" s="711">
        <v>9.3000000000000007</v>
      </c>
    </row>
    <row r="29" spans="1:5" ht="16.5" customHeight="1" x14ac:dyDescent="0.3">
      <c r="A29" s="63">
        <v>6</v>
      </c>
      <c r="B29" s="67">
        <v>7472903</v>
      </c>
      <c r="C29" s="67">
        <v>66769.2</v>
      </c>
      <c r="D29" s="713">
        <v>1.1000000000000001</v>
      </c>
      <c r="E29" s="713">
        <v>9.3000000000000007</v>
      </c>
    </row>
    <row r="30" spans="1:5" ht="16.5" customHeight="1" x14ac:dyDescent="0.3">
      <c r="A30" s="69" t="s">
        <v>18</v>
      </c>
      <c r="B30" s="70">
        <f>AVERAGE(B24:B29)</f>
        <v>7548161.5</v>
      </c>
      <c r="C30" s="71">
        <f>AVERAGE(C24:C29)</f>
        <v>66348.7</v>
      </c>
      <c r="D30" s="72">
        <f>AVERAGE(D24:D29)</f>
        <v>1.0999999999999999</v>
      </c>
      <c r="E30" s="72">
        <f>AVERAGE(E24:E29)</f>
        <v>9.2999999999999989</v>
      </c>
    </row>
    <row r="31" spans="1:5" ht="16.5" customHeight="1" x14ac:dyDescent="0.3">
      <c r="A31" s="73" t="s">
        <v>19</v>
      </c>
      <c r="B31" s="74">
        <f>(STDEV(B24:B29)/B30)</f>
        <v>8.1963731574697524E-3</v>
      </c>
      <c r="C31" s="75"/>
      <c r="D31" s="75"/>
      <c r="E31" s="76"/>
    </row>
    <row r="32" spans="1:5" s="49" customFormat="1" ht="16.5" customHeight="1" x14ac:dyDescent="0.3">
      <c r="A32" s="77" t="s">
        <v>20</v>
      </c>
      <c r="B32" s="78">
        <f>COUNT(B24:B29)</f>
        <v>6</v>
      </c>
      <c r="C32" s="79"/>
      <c r="D32" s="80"/>
      <c r="E32" s="81"/>
    </row>
    <row r="33" spans="1:5" s="49" customFormat="1" ht="15.75" customHeight="1" x14ac:dyDescent="0.3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2" t="s">
        <v>22</v>
      </c>
      <c r="C34" s="83"/>
      <c r="D34" s="83"/>
      <c r="E34" s="83"/>
    </row>
    <row r="35" spans="1:5" ht="16.5" customHeight="1" x14ac:dyDescent="0.3">
      <c r="A35" s="56"/>
      <c r="B35" s="82" t="s">
        <v>141</v>
      </c>
      <c r="C35" s="83"/>
      <c r="D35" s="83"/>
      <c r="E35" s="83"/>
    </row>
    <row r="36" spans="1:5" ht="16.5" customHeight="1" x14ac:dyDescent="0.3">
      <c r="A36" s="56"/>
      <c r="B36" s="82" t="s">
        <v>24</v>
      </c>
      <c r="C36" s="83"/>
      <c r="D36" s="83"/>
      <c r="E36" s="83"/>
    </row>
    <row r="37" spans="1:5" ht="15.75" customHeight="1" x14ac:dyDescent="0.3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136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99.6</v>
      </c>
      <c r="C40" s="55"/>
      <c r="D40" s="55"/>
      <c r="E40" s="55"/>
    </row>
    <row r="41" spans="1:5" ht="16.5" customHeight="1" x14ac:dyDescent="0.3">
      <c r="A41" s="53" t="s">
        <v>8</v>
      </c>
      <c r="B41" s="57">
        <v>17.760000000000002</v>
      </c>
      <c r="C41" s="55"/>
      <c r="D41" s="55"/>
      <c r="E41" s="55"/>
    </row>
    <row r="42" spans="1:5" ht="16.5" customHeight="1" x14ac:dyDescent="0.3">
      <c r="A42" s="53" t="s">
        <v>10</v>
      </c>
      <c r="B42" s="714">
        <f>B41/100</f>
        <v>0.17760000000000001</v>
      </c>
      <c r="C42" s="55"/>
      <c r="D42" s="55"/>
      <c r="E42" s="55"/>
    </row>
    <row r="43" spans="1:5" ht="15.75" customHeight="1" x14ac:dyDescent="0.3">
      <c r="A43" s="55"/>
      <c r="B43" s="55"/>
      <c r="C43" s="55"/>
      <c r="D43" s="55"/>
      <c r="E43" s="55"/>
    </row>
    <row r="44" spans="1:5" ht="16.5" customHeight="1" x14ac:dyDescent="0.3">
      <c r="A44" s="61" t="s">
        <v>13</v>
      </c>
      <c r="B44" s="62" t="s">
        <v>14</v>
      </c>
      <c r="C44" s="61" t="s">
        <v>15</v>
      </c>
      <c r="D44" s="61" t="s">
        <v>16</v>
      </c>
      <c r="E44" s="61" t="s">
        <v>17</v>
      </c>
    </row>
    <row r="45" spans="1:5" ht="16.5" customHeight="1" x14ac:dyDescent="0.3">
      <c r="A45" s="63">
        <v>1</v>
      </c>
      <c r="B45" s="64">
        <v>7644767</v>
      </c>
      <c r="C45" s="711">
        <v>66024.100000000006</v>
      </c>
      <c r="D45" s="711">
        <v>1.1000000000000001</v>
      </c>
      <c r="E45" s="712">
        <v>9.3000000000000007</v>
      </c>
    </row>
    <row r="46" spans="1:5" ht="16.5" customHeight="1" x14ac:dyDescent="0.3">
      <c r="A46" s="63">
        <v>2</v>
      </c>
      <c r="B46" s="64">
        <v>7589467</v>
      </c>
      <c r="C46" s="711">
        <v>66129.2</v>
      </c>
      <c r="D46" s="711">
        <v>1.1000000000000001</v>
      </c>
      <c r="E46" s="711">
        <v>9.3000000000000007</v>
      </c>
    </row>
    <row r="47" spans="1:5" ht="16.5" customHeight="1" x14ac:dyDescent="0.3">
      <c r="A47" s="63">
        <v>3</v>
      </c>
      <c r="B47" s="64">
        <v>7549143</v>
      </c>
      <c r="C47" s="711">
        <v>66240.399999999994</v>
      </c>
      <c r="D47" s="711">
        <v>1.1000000000000001</v>
      </c>
      <c r="E47" s="711">
        <v>9.3000000000000007</v>
      </c>
    </row>
    <row r="48" spans="1:5" ht="16.5" customHeight="1" x14ac:dyDescent="0.3">
      <c r="A48" s="63">
        <v>4</v>
      </c>
      <c r="B48" s="64">
        <v>7530658</v>
      </c>
      <c r="C48" s="711">
        <v>66473.899999999994</v>
      </c>
      <c r="D48" s="711">
        <v>1.1000000000000001</v>
      </c>
      <c r="E48" s="711">
        <v>9.3000000000000007</v>
      </c>
    </row>
    <row r="49" spans="1:7" ht="16.5" customHeight="1" x14ac:dyDescent="0.3">
      <c r="A49" s="63">
        <v>5</v>
      </c>
      <c r="B49" s="64">
        <v>7502031</v>
      </c>
      <c r="C49" s="711">
        <v>66455.399999999994</v>
      </c>
      <c r="D49" s="711">
        <v>1.1000000000000001</v>
      </c>
      <c r="E49" s="711">
        <v>9.3000000000000007</v>
      </c>
    </row>
    <row r="50" spans="1:7" ht="16.5" customHeight="1" x14ac:dyDescent="0.3">
      <c r="A50" s="63">
        <v>6</v>
      </c>
      <c r="B50" s="67">
        <v>7472903</v>
      </c>
      <c r="C50" s="713">
        <v>66769.52</v>
      </c>
      <c r="D50" s="713">
        <v>1.1000000000000001</v>
      </c>
      <c r="E50" s="713">
        <v>9.3000000000000007</v>
      </c>
    </row>
    <row r="51" spans="1:7" ht="16.5" customHeight="1" x14ac:dyDescent="0.3">
      <c r="A51" s="69" t="s">
        <v>18</v>
      </c>
      <c r="B51" s="70">
        <f>AVERAGE(B45:B50)</f>
        <v>7548161.5</v>
      </c>
      <c r="C51" s="71">
        <f>AVERAGE(C45:C50)</f>
        <v>66348.753333333341</v>
      </c>
      <c r="D51" s="72">
        <f>AVERAGE(D45:D50)</f>
        <v>1.0999999999999999</v>
      </c>
      <c r="E51" s="72">
        <f>AVERAGE(E45:E50)</f>
        <v>9.2999999999999989</v>
      </c>
    </row>
    <row r="52" spans="1:7" ht="16.5" customHeight="1" x14ac:dyDescent="0.3">
      <c r="A52" s="73" t="s">
        <v>19</v>
      </c>
      <c r="B52" s="74">
        <f>(STDEV(B45:B50)/B51)</f>
        <v>8.1963731574697524E-3</v>
      </c>
      <c r="C52" s="75"/>
      <c r="D52" s="75"/>
      <c r="E52" s="76"/>
    </row>
    <row r="53" spans="1:7" s="49" customFormat="1" ht="16.5" customHeight="1" x14ac:dyDescent="0.3">
      <c r="A53" s="77" t="s">
        <v>20</v>
      </c>
      <c r="B53" s="78">
        <f>COUNT(B45:B50)</f>
        <v>6</v>
      </c>
      <c r="C53" s="79"/>
      <c r="D53" s="80"/>
      <c r="E53" s="81"/>
    </row>
    <row r="54" spans="1:7" s="49" customFormat="1" ht="15.75" customHeight="1" x14ac:dyDescent="0.3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2" t="s">
        <v>22</v>
      </c>
      <c r="C55" s="83"/>
      <c r="D55" s="83"/>
      <c r="E55" s="83"/>
    </row>
    <row r="56" spans="1:7" ht="16.5" customHeight="1" x14ac:dyDescent="0.3">
      <c r="A56" s="56"/>
      <c r="B56" s="82" t="s">
        <v>23</v>
      </c>
      <c r="C56" s="83"/>
      <c r="D56" s="83"/>
      <c r="E56" s="83"/>
    </row>
    <row r="57" spans="1:7" ht="16.5" customHeight="1" x14ac:dyDescent="0.3">
      <c r="A57" s="56"/>
      <c r="B57" s="82" t="s">
        <v>24</v>
      </c>
      <c r="C57" s="83"/>
      <c r="D57" s="83"/>
      <c r="E57" s="83"/>
    </row>
    <row r="58" spans="1:7" ht="14.25" customHeight="1" thickBot="1" x14ac:dyDescent="0.35">
      <c r="A58" s="84"/>
      <c r="B58" s="85"/>
      <c r="D58" s="86"/>
      <c r="F58" s="87"/>
      <c r="G58" s="87"/>
    </row>
    <row r="59" spans="1:7" ht="15" customHeight="1" x14ac:dyDescent="0.3">
      <c r="B59" s="584" t="s">
        <v>26</v>
      </c>
      <c r="C59" s="584"/>
      <c r="E59" s="88" t="s">
        <v>27</v>
      </c>
      <c r="F59" s="89"/>
      <c r="G59" s="88" t="s">
        <v>28</v>
      </c>
    </row>
    <row r="60" spans="1:7" ht="15" customHeight="1" x14ac:dyDescent="0.3">
      <c r="A60" s="90" t="s">
        <v>29</v>
      </c>
      <c r="B60" s="91"/>
      <c r="C60" s="91"/>
      <c r="E60" s="91"/>
      <c r="G60" s="91"/>
    </row>
    <row r="61" spans="1:7" ht="15" customHeight="1" x14ac:dyDescent="0.3">
      <c r="A61" s="90" t="s">
        <v>30</v>
      </c>
      <c r="B61" s="92"/>
      <c r="C61" s="92"/>
      <c r="E61" s="92"/>
      <c r="G61" s="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workbookViewId="0">
      <selection activeCell="H47" sqref="H47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588" t="s">
        <v>31</v>
      </c>
      <c r="B11" s="589"/>
      <c r="C11" s="589"/>
      <c r="D11" s="589"/>
      <c r="E11" s="589"/>
      <c r="F11" s="590"/>
      <c r="G11" s="41"/>
    </row>
    <row r="12" spans="1:7" ht="16.5" customHeight="1" x14ac:dyDescent="0.3">
      <c r="A12" s="587" t="s">
        <v>32</v>
      </c>
      <c r="B12" s="587"/>
      <c r="C12" s="587"/>
      <c r="D12" s="587"/>
      <c r="E12" s="587"/>
      <c r="F12" s="587"/>
      <c r="G12" s="40"/>
    </row>
    <row r="14" spans="1:7" ht="16.5" customHeight="1" x14ac:dyDescent="0.3">
      <c r="A14" s="592" t="s">
        <v>33</v>
      </c>
      <c r="B14" s="592"/>
      <c r="C14" s="10" t="s">
        <v>5</v>
      </c>
    </row>
    <row r="15" spans="1:7" ht="16.5" customHeight="1" x14ac:dyDescent="0.3">
      <c r="A15" s="592" t="s">
        <v>34</v>
      </c>
      <c r="B15" s="592"/>
      <c r="C15" s="10" t="s">
        <v>7</v>
      </c>
    </row>
    <row r="16" spans="1:7" ht="16.5" customHeight="1" x14ac:dyDescent="0.3">
      <c r="A16" s="592" t="s">
        <v>35</v>
      </c>
      <c r="B16" s="592"/>
      <c r="C16" s="10" t="s">
        <v>9</v>
      </c>
    </row>
    <row r="17" spans="1:5" ht="16.5" customHeight="1" x14ac:dyDescent="0.3">
      <c r="A17" s="592" t="s">
        <v>36</v>
      </c>
      <c r="B17" s="592"/>
      <c r="C17" s="10" t="s">
        <v>11</v>
      </c>
    </row>
    <row r="18" spans="1:5" ht="16.5" customHeight="1" x14ac:dyDescent="0.3">
      <c r="A18" s="592" t="s">
        <v>37</v>
      </c>
      <c r="B18" s="592"/>
      <c r="C18" s="47" t="s">
        <v>12</v>
      </c>
    </row>
    <row r="19" spans="1:5" ht="16.5" customHeight="1" x14ac:dyDescent="0.3">
      <c r="A19" s="592" t="s">
        <v>38</v>
      </c>
      <c r="B19" s="59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87" t="s">
        <v>1</v>
      </c>
      <c r="B21" s="587"/>
      <c r="C21" s="9" t="s">
        <v>39</v>
      </c>
      <c r="D21" s="16"/>
    </row>
    <row r="22" spans="1:5" ht="15.75" customHeight="1" x14ac:dyDescent="0.3">
      <c r="A22" s="591"/>
      <c r="B22" s="591"/>
      <c r="C22" s="7"/>
      <c r="D22" s="591"/>
      <c r="E22" s="591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300.3</v>
      </c>
      <c r="D24" s="37">
        <f t="shared" ref="D24:D43" si="0">(C24-$C$46)/$C$46</f>
        <v>-2.865557854052455E-3</v>
      </c>
      <c r="E24" s="3"/>
    </row>
    <row r="25" spans="1:5" ht="15.75" customHeight="1" x14ac:dyDescent="0.3">
      <c r="C25" s="45">
        <v>300.75</v>
      </c>
      <c r="D25" s="38">
        <f t="shared" si="0"/>
        <v>-1.3713503982893346E-3</v>
      </c>
      <c r="E25" s="3"/>
    </row>
    <row r="26" spans="1:5" ht="15.75" customHeight="1" x14ac:dyDescent="0.3">
      <c r="C26" s="45">
        <v>299.13</v>
      </c>
      <c r="D26" s="38">
        <f t="shared" si="0"/>
        <v>-6.7504972390367186E-3</v>
      </c>
      <c r="E26" s="3"/>
    </row>
    <row r="27" spans="1:5" ht="15.75" customHeight="1" x14ac:dyDescent="0.3">
      <c r="C27" s="45">
        <v>304.13</v>
      </c>
      <c r="D27" s="38">
        <f t="shared" si="0"/>
        <v>9.8518078249983706E-3</v>
      </c>
      <c r="E27" s="3"/>
    </row>
    <row r="28" spans="1:5" ht="15.75" customHeight="1" x14ac:dyDescent="0.3">
      <c r="C28" s="45">
        <v>299.69</v>
      </c>
      <c r="D28" s="38">
        <f t="shared" si="0"/>
        <v>-4.8910390718647813E-3</v>
      </c>
      <c r="E28" s="3"/>
    </row>
    <row r="29" spans="1:5" ht="15.75" customHeight="1" x14ac:dyDescent="0.3">
      <c r="C29" s="45">
        <v>303.73</v>
      </c>
      <c r="D29" s="38">
        <f t="shared" si="0"/>
        <v>8.5236234198756387E-3</v>
      </c>
      <c r="E29" s="3"/>
    </row>
    <row r="30" spans="1:5" ht="15.75" customHeight="1" x14ac:dyDescent="0.3">
      <c r="C30" s="45">
        <v>302.94</v>
      </c>
      <c r="D30" s="38">
        <f t="shared" si="0"/>
        <v>5.9004592197580271E-3</v>
      </c>
      <c r="E30" s="3"/>
    </row>
    <row r="31" spans="1:5" ht="15.75" customHeight="1" x14ac:dyDescent="0.3">
      <c r="C31" s="45">
        <v>295.45</v>
      </c>
      <c r="D31" s="38">
        <f t="shared" si="0"/>
        <v>-1.8969793766166566E-2</v>
      </c>
      <c r="E31" s="3"/>
    </row>
    <row r="32" spans="1:5" ht="15.75" customHeight="1" x14ac:dyDescent="0.3">
      <c r="C32" s="45">
        <v>304.77</v>
      </c>
      <c r="D32" s="38">
        <f t="shared" si="0"/>
        <v>1.1976902873194818E-2</v>
      </c>
      <c r="E32" s="3"/>
    </row>
    <row r="33" spans="1:7" ht="15.75" customHeight="1" x14ac:dyDescent="0.3">
      <c r="C33" s="45">
        <v>301.20999999999998</v>
      </c>
      <c r="D33" s="38">
        <f t="shared" si="0"/>
        <v>1.5606166760182566E-4</v>
      </c>
      <c r="E33" s="3"/>
    </row>
    <row r="34" spans="1:7" ht="15.75" customHeight="1" x14ac:dyDescent="0.3">
      <c r="C34" s="45">
        <v>300.45999999999998</v>
      </c>
      <c r="D34" s="38">
        <f t="shared" si="0"/>
        <v>-2.3342840920034377E-3</v>
      </c>
      <c r="E34" s="3"/>
    </row>
    <row r="35" spans="1:7" ht="15.75" customHeight="1" x14ac:dyDescent="0.3">
      <c r="C35" s="45">
        <v>300.18</v>
      </c>
      <c r="D35" s="38">
        <f t="shared" si="0"/>
        <v>-3.2640131755893123E-3</v>
      </c>
      <c r="E35" s="3"/>
    </row>
    <row r="36" spans="1:7" ht="15.75" customHeight="1" x14ac:dyDescent="0.3">
      <c r="C36" s="45">
        <v>302.74</v>
      </c>
      <c r="D36" s="38">
        <f t="shared" si="0"/>
        <v>5.2363670171966612E-3</v>
      </c>
      <c r="E36" s="3"/>
    </row>
    <row r="37" spans="1:7" ht="15.75" customHeight="1" x14ac:dyDescent="0.3">
      <c r="C37" s="45">
        <v>301.87</v>
      </c>
      <c r="D37" s="38">
        <f t="shared" si="0"/>
        <v>2.3475659360545405E-3</v>
      </c>
      <c r="E37" s="3"/>
    </row>
    <row r="38" spans="1:7" ht="15.75" customHeight="1" x14ac:dyDescent="0.3">
      <c r="C38" s="45">
        <v>297.08999999999997</v>
      </c>
      <c r="D38" s="38">
        <f t="shared" si="0"/>
        <v>-1.3524237705163103E-2</v>
      </c>
      <c r="E38" s="3"/>
    </row>
    <row r="39" spans="1:7" ht="15.75" customHeight="1" x14ac:dyDescent="0.3">
      <c r="C39" s="45">
        <v>308.2</v>
      </c>
      <c r="D39" s="38">
        <f t="shared" si="0"/>
        <v>2.3366084147122913E-2</v>
      </c>
      <c r="E39" s="3"/>
    </row>
    <row r="40" spans="1:7" ht="15.75" customHeight="1" x14ac:dyDescent="0.3">
      <c r="C40" s="45">
        <v>297.45999999999998</v>
      </c>
      <c r="D40" s="38">
        <f t="shared" si="0"/>
        <v>-1.2295667130424492E-2</v>
      </c>
      <c r="E40" s="3"/>
    </row>
    <row r="41" spans="1:7" ht="15.75" customHeight="1" x14ac:dyDescent="0.3">
      <c r="C41" s="45">
        <v>300.58</v>
      </c>
      <c r="D41" s="38">
        <f t="shared" si="0"/>
        <v>-1.9358287704665806E-3</v>
      </c>
      <c r="E41" s="3"/>
    </row>
    <row r="42" spans="1:7" ht="15.75" customHeight="1" x14ac:dyDescent="0.3">
      <c r="C42" s="45">
        <v>303.60000000000002</v>
      </c>
      <c r="D42" s="38">
        <f t="shared" si="0"/>
        <v>8.0919634882107416E-3</v>
      </c>
      <c r="E42" s="3"/>
    </row>
    <row r="43" spans="1:7" ht="16.5" customHeight="1" x14ac:dyDescent="0.3">
      <c r="C43" s="46">
        <v>298.98</v>
      </c>
      <c r="D43" s="39">
        <f t="shared" si="0"/>
        <v>-7.2485663909576965E-3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6023.26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301.16300000000001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85">
        <f>C46</f>
        <v>301.16300000000001</v>
      </c>
      <c r="C49" s="43">
        <f>-IF(C46&lt;=80,10%,IF(C46&lt;250,7.5%,5%))</f>
        <v>-0.05</v>
      </c>
      <c r="D49" s="31">
        <f>IF(C46&lt;=80,C46*0.9,IF(C46&lt;250,C46*0.925,C46*0.95))</f>
        <v>286.10485</v>
      </c>
    </row>
    <row r="50" spans="1:6" ht="17.25" customHeight="1" x14ac:dyDescent="0.3">
      <c r="B50" s="586"/>
      <c r="C50" s="44">
        <f>IF(C46&lt;=80, 10%, IF(C46&lt;250, 7.5%, 5%))</f>
        <v>0.05</v>
      </c>
      <c r="D50" s="31">
        <f>IF(C46&lt;=80, C46*1.1, IF(C46&lt;250, C46*1.075, C46*1.05))</f>
        <v>316.22115000000002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113" zoomScale="80" zoomScaleNormal="80" zoomScalePageLayoutView="55" workbookViewId="0">
      <selection activeCell="H99" sqref="H99"/>
    </sheetView>
  </sheetViews>
  <sheetFormatPr defaultColWidth="9.109375" defaultRowHeight="13.8" x14ac:dyDescent="0.3"/>
  <cols>
    <col min="1" max="1" width="55.44140625" style="49" customWidth="1"/>
    <col min="2" max="2" width="33.6640625" style="49" customWidth="1"/>
    <col min="3" max="3" width="42.33203125" style="49" customWidth="1"/>
    <col min="4" max="4" width="30.5546875" style="49" customWidth="1"/>
    <col min="5" max="5" width="39.88671875" style="49" customWidth="1"/>
    <col min="6" max="6" width="30.6640625" style="49" customWidth="1"/>
    <col min="7" max="7" width="39.88671875" style="49" customWidth="1"/>
    <col min="8" max="8" width="30" style="49" customWidth="1"/>
    <col min="9" max="9" width="30.33203125" style="49" hidden="1" customWidth="1"/>
    <col min="10" max="10" width="30.44140625" style="49" customWidth="1"/>
    <col min="11" max="11" width="21.33203125" style="49" customWidth="1"/>
    <col min="12" max="12" width="9.109375" style="49"/>
    <col min="13" max="16384" width="9.109375" style="87"/>
  </cols>
  <sheetData>
    <row r="1" spans="1:9" ht="18.75" customHeight="1" x14ac:dyDescent="0.3">
      <c r="A1" s="623" t="s">
        <v>45</v>
      </c>
      <c r="B1" s="623"/>
      <c r="C1" s="623"/>
      <c r="D1" s="623"/>
      <c r="E1" s="623"/>
      <c r="F1" s="623"/>
      <c r="G1" s="623"/>
      <c r="H1" s="623"/>
      <c r="I1" s="623"/>
    </row>
    <row r="2" spans="1:9" ht="18.75" customHeight="1" x14ac:dyDescent="0.3">
      <c r="A2" s="623"/>
      <c r="B2" s="623"/>
      <c r="C2" s="623"/>
      <c r="D2" s="623"/>
      <c r="E2" s="623"/>
      <c r="F2" s="623"/>
      <c r="G2" s="623"/>
      <c r="H2" s="623"/>
      <c r="I2" s="623"/>
    </row>
    <row r="3" spans="1:9" ht="18.75" customHeight="1" x14ac:dyDescent="0.3">
      <c r="A3" s="623"/>
      <c r="B3" s="623"/>
      <c r="C3" s="623"/>
      <c r="D3" s="623"/>
      <c r="E3" s="623"/>
      <c r="F3" s="623"/>
      <c r="G3" s="623"/>
      <c r="H3" s="623"/>
      <c r="I3" s="623"/>
    </row>
    <row r="4" spans="1:9" ht="18.75" customHeight="1" x14ac:dyDescent="0.3">
      <c r="A4" s="623"/>
      <c r="B4" s="623"/>
      <c r="C4" s="623"/>
      <c r="D4" s="623"/>
      <c r="E4" s="623"/>
      <c r="F4" s="623"/>
      <c r="G4" s="623"/>
      <c r="H4" s="623"/>
      <c r="I4" s="623"/>
    </row>
    <row r="5" spans="1:9" ht="18.75" customHeight="1" x14ac:dyDescent="0.3">
      <c r="A5" s="623"/>
      <c r="B5" s="623"/>
      <c r="C5" s="623"/>
      <c r="D5" s="623"/>
      <c r="E5" s="623"/>
      <c r="F5" s="623"/>
      <c r="G5" s="623"/>
      <c r="H5" s="623"/>
      <c r="I5" s="623"/>
    </row>
    <row r="6" spans="1:9" ht="18.75" customHeight="1" x14ac:dyDescent="0.3">
      <c r="A6" s="623"/>
      <c r="B6" s="623"/>
      <c r="C6" s="623"/>
      <c r="D6" s="623"/>
      <c r="E6" s="623"/>
      <c r="F6" s="623"/>
      <c r="G6" s="623"/>
      <c r="H6" s="623"/>
      <c r="I6" s="623"/>
    </row>
    <row r="7" spans="1:9" ht="18.75" customHeight="1" x14ac:dyDescent="0.3">
      <c r="A7" s="623"/>
      <c r="B7" s="623"/>
      <c r="C7" s="623"/>
      <c r="D7" s="623"/>
      <c r="E7" s="623"/>
      <c r="F7" s="623"/>
      <c r="G7" s="623"/>
      <c r="H7" s="623"/>
      <c r="I7" s="623"/>
    </row>
    <row r="8" spans="1:9" x14ac:dyDescent="0.3">
      <c r="A8" s="624" t="s">
        <v>46</v>
      </c>
      <c r="B8" s="624"/>
      <c r="C8" s="624"/>
      <c r="D8" s="624"/>
      <c r="E8" s="624"/>
      <c r="F8" s="624"/>
      <c r="G8" s="624"/>
      <c r="H8" s="624"/>
      <c r="I8" s="624"/>
    </row>
    <row r="9" spans="1:9" x14ac:dyDescent="0.3">
      <c r="A9" s="624"/>
      <c r="B9" s="624"/>
      <c r="C9" s="624"/>
      <c r="D9" s="624"/>
      <c r="E9" s="624"/>
      <c r="F9" s="624"/>
      <c r="G9" s="624"/>
      <c r="H9" s="624"/>
      <c r="I9" s="624"/>
    </row>
    <row r="10" spans="1:9" x14ac:dyDescent="0.3">
      <c r="A10" s="624"/>
      <c r="B10" s="624"/>
      <c r="C10" s="624"/>
      <c r="D10" s="624"/>
      <c r="E10" s="624"/>
      <c r="F10" s="624"/>
      <c r="G10" s="624"/>
      <c r="H10" s="624"/>
      <c r="I10" s="624"/>
    </row>
    <row r="11" spans="1:9" x14ac:dyDescent="0.3">
      <c r="A11" s="624"/>
      <c r="B11" s="624"/>
      <c r="C11" s="624"/>
      <c r="D11" s="624"/>
      <c r="E11" s="624"/>
      <c r="F11" s="624"/>
      <c r="G11" s="624"/>
      <c r="H11" s="624"/>
      <c r="I11" s="624"/>
    </row>
    <row r="12" spans="1:9" x14ac:dyDescent="0.3">
      <c r="A12" s="624"/>
      <c r="B12" s="624"/>
      <c r="C12" s="624"/>
      <c r="D12" s="624"/>
      <c r="E12" s="624"/>
      <c r="F12" s="624"/>
      <c r="G12" s="624"/>
      <c r="H12" s="624"/>
      <c r="I12" s="624"/>
    </row>
    <row r="13" spans="1:9" x14ac:dyDescent="0.3">
      <c r="A13" s="624"/>
      <c r="B13" s="624"/>
      <c r="C13" s="624"/>
      <c r="D13" s="624"/>
      <c r="E13" s="624"/>
      <c r="F13" s="624"/>
      <c r="G13" s="624"/>
      <c r="H13" s="624"/>
      <c r="I13" s="624"/>
    </row>
    <row r="14" spans="1:9" x14ac:dyDescent="0.3">
      <c r="A14" s="624"/>
      <c r="B14" s="624"/>
      <c r="C14" s="624"/>
      <c r="D14" s="624"/>
      <c r="E14" s="624"/>
      <c r="F14" s="624"/>
      <c r="G14" s="624"/>
      <c r="H14" s="624"/>
      <c r="I14" s="624"/>
    </row>
    <row r="15" spans="1:9" ht="19.5" customHeight="1" thickBot="1" x14ac:dyDescent="0.4">
      <c r="A15" s="94"/>
    </row>
    <row r="16" spans="1:9" ht="19.5" customHeight="1" thickBot="1" x14ac:dyDescent="0.4">
      <c r="A16" s="625" t="s">
        <v>31</v>
      </c>
      <c r="B16" s="626"/>
      <c r="C16" s="626"/>
      <c r="D16" s="626"/>
      <c r="E16" s="626"/>
      <c r="F16" s="626"/>
      <c r="G16" s="626"/>
      <c r="H16" s="627"/>
    </row>
    <row r="17" spans="1:14" ht="20.25" customHeight="1" x14ac:dyDescent="0.3">
      <c r="A17" s="628" t="s">
        <v>47</v>
      </c>
      <c r="B17" s="628"/>
      <c r="C17" s="628"/>
      <c r="D17" s="628"/>
      <c r="E17" s="628"/>
      <c r="F17" s="628"/>
      <c r="G17" s="628"/>
      <c r="H17" s="628"/>
    </row>
    <row r="18" spans="1:14" ht="26.25" customHeight="1" x14ac:dyDescent="0.5">
      <c r="A18" s="95" t="s">
        <v>33</v>
      </c>
      <c r="B18" s="715" t="s">
        <v>142</v>
      </c>
      <c r="C18" s="715"/>
      <c r="D18" s="96"/>
      <c r="E18" s="97"/>
      <c r="F18" s="98"/>
      <c r="G18" s="98"/>
      <c r="H18" s="98"/>
    </row>
    <row r="19" spans="1:14" ht="26.25" customHeight="1" x14ac:dyDescent="0.5">
      <c r="A19" s="95" t="s">
        <v>34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5">
      <c r="A20" s="95" t="s">
        <v>35</v>
      </c>
      <c r="B20" s="630" t="s">
        <v>126</v>
      </c>
      <c r="C20" s="630"/>
      <c r="D20" s="98"/>
      <c r="E20" s="98"/>
      <c r="F20" s="98"/>
      <c r="G20" s="98"/>
      <c r="H20" s="98"/>
    </row>
    <row r="21" spans="1:14" ht="26.25" customHeight="1" x14ac:dyDescent="0.5">
      <c r="A21" s="95" t="s">
        <v>36</v>
      </c>
      <c r="B21" s="630" t="s">
        <v>127</v>
      </c>
      <c r="C21" s="630"/>
      <c r="D21" s="630"/>
      <c r="E21" s="630"/>
      <c r="F21" s="630"/>
      <c r="G21" s="630"/>
      <c r="H21" s="630"/>
      <c r="I21" s="100"/>
    </row>
    <row r="22" spans="1:14" ht="26.25" customHeight="1" x14ac:dyDescent="0.5">
      <c r="A22" s="95" t="s">
        <v>37</v>
      </c>
      <c r="B22" s="101">
        <v>42531.493668981479</v>
      </c>
      <c r="C22" s="98"/>
      <c r="D22" s="98"/>
      <c r="E22" s="98"/>
      <c r="F22" s="98"/>
      <c r="G22" s="98"/>
      <c r="H22" s="98"/>
    </row>
    <row r="23" spans="1:14" ht="26.25" customHeight="1" x14ac:dyDescent="0.5">
      <c r="A23" s="95" t="s">
        <v>38</v>
      </c>
      <c r="B23" s="101">
        <v>42535.41033564815</v>
      </c>
      <c r="C23" s="98"/>
      <c r="D23" s="98"/>
      <c r="E23" s="98"/>
      <c r="F23" s="98"/>
      <c r="G23" s="98"/>
      <c r="H23" s="98"/>
    </row>
    <row r="24" spans="1:14" ht="18" x14ac:dyDescent="0.35">
      <c r="A24" s="95"/>
      <c r="B24" s="102"/>
    </row>
    <row r="25" spans="1:14" ht="18" x14ac:dyDescent="0.35">
      <c r="A25" s="103" t="s">
        <v>1</v>
      </c>
      <c r="B25" s="102"/>
    </row>
    <row r="26" spans="1:14" ht="26.25" customHeight="1" x14ac:dyDescent="0.45">
      <c r="A26" s="104" t="s">
        <v>4</v>
      </c>
      <c r="B26" s="629" t="s">
        <v>128</v>
      </c>
      <c r="C26" s="629"/>
    </row>
    <row r="27" spans="1:14" ht="26.25" customHeight="1" x14ac:dyDescent="0.5">
      <c r="A27" s="105" t="s">
        <v>48</v>
      </c>
      <c r="B27" s="631" t="s">
        <v>129</v>
      </c>
      <c r="C27" s="631"/>
    </row>
    <row r="28" spans="1:14" ht="27" customHeight="1" thickBot="1" x14ac:dyDescent="0.5">
      <c r="A28" s="105" t="s">
        <v>6</v>
      </c>
      <c r="B28" s="106">
        <v>98.5</v>
      </c>
    </row>
    <row r="29" spans="1:14" s="61" customFormat="1" ht="27" customHeight="1" thickBot="1" x14ac:dyDescent="0.55000000000000004">
      <c r="A29" s="105" t="s">
        <v>49</v>
      </c>
      <c r="B29" s="107">
        <v>0</v>
      </c>
      <c r="C29" s="612" t="s">
        <v>50</v>
      </c>
      <c r="D29" s="613"/>
      <c r="E29" s="613"/>
      <c r="F29" s="613"/>
      <c r="G29" s="614"/>
      <c r="I29" s="108"/>
      <c r="J29" s="108"/>
      <c r="K29" s="108"/>
      <c r="L29" s="108"/>
    </row>
    <row r="30" spans="1:14" s="61" customFormat="1" ht="19.5" customHeight="1" thickBot="1" x14ac:dyDescent="0.4">
      <c r="A30" s="105" t="s">
        <v>51</v>
      </c>
      <c r="B30" s="109">
        <f>B28-B29</f>
        <v>98.5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61" customFormat="1" ht="27" customHeight="1" thickBot="1" x14ac:dyDescent="0.5">
      <c r="A31" s="105" t="s">
        <v>52</v>
      </c>
      <c r="B31" s="112">
        <v>1</v>
      </c>
      <c r="C31" s="615" t="s">
        <v>53</v>
      </c>
      <c r="D31" s="616"/>
      <c r="E31" s="616"/>
      <c r="F31" s="616"/>
      <c r="G31" s="616"/>
      <c r="H31" s="617"/>
      <c r="I31" s="108"/>
      <c r="J31" s="108"/>
      <c r="K31" s="108"/>
      <c r="L31" s="108"/>
    </row>
    <row r="32" spans="1:14" s="61" customFormat="1" ht="27" customHeight="1" thickBot="1" x14ac:dyDescent="0.5">
      <c r="A32" s="105" t="s">
        <v>54</v>
      </c>
      <c r="B32" s="112">
        <v>1</v>
      </c>
      <c r="C32" s="615" t="s">
        <v>55</v>
      </c>
      <c r="D32" s="616"/>
      <c r="E32" s="616"/>
      <c r="F32" s="616"/>
      <c r="G32" s="616"/>
      <c r="H32" s="617"/>
      <c r="I32" s="108"/>
      <c r="J32" s="108"/>
      <c r="K32" s="108"/>
      <c r="L32" s="113"/>
      <c r="M32" s="113"/>
      <c r="N32" s="114"/>
    </row>
    <row r="33" spans="1:14" s="61" customFormat="1" ht="17.25" customHeight="1" x14ac:dyDescent="0.35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61" customFormat="1" ht="18" x14ac:dyDescent="0.35">
      <c r="A34" s="105" t="s">
        <v>56</v>
      </c>
      <c r="B34" s="117">
        <f>B31/B32</f>
        <v>1</v>
      </c>
      <c r="C34" s="94" t="s">
        <v>57</v>
      </c>
      <c r="D34" s="94"/>
      <c r="E34" s="94"/>
      <c r="F34" s="94"/>
      <c r="G34" s="94"/>
      <c r="I34" s="108"/>
      <c r="J34" s="108"/>
      <c r="K34" s="108"/>
      <c r="L34" s="113"/>
      <c r="M34" s="113"/>
      <c r="N34" s="114"/>
    </row>
    <row r="35" spans="1:14" s="61" customFormat="1" ht="19.5" customHeight="1" thickBot="1" x14ac:dyDescent="0.4">
      <c r="A35" s="105"/>
      <c r="B35" s="109"/>
      <c r="G35" s="94"/>
      <c r="I35" s="108"/>
      <c r="J35" s="108"/>
      <c r="K35" s="108"/>
      <c r="L35" s="113"/>
      <c r="M35" s="113"/>
      <c r="N35" s="114"/>
    </row>
    <row r="36" spans="1:14" s="61" customFormat="1" ht="27" customHeight="1" thickBot="1" x14ac:dyDescent="0.5">
      <c r="A36" s="118" t="s">
        <v>58</v>
      </c>
      <c r="B36" s="119">
        <v>100</v>
      </c>
      <c r="C36" s="94"/>
      <c r="D36" s="602" t="s">
        <v>59</v>
      </c>
      <c r="E36" s="622"/>
      <c r="F36" s="602" t="s">
        <v>60</v>
      </c>
      <c r="G36" s="603"/>
      <c r="J36" s="108"/>
      <c r="K36" s="108"/>
      <c r="L36" s="113"/>
      <c r="M36" s="113"/>
      <c r="N36" s="114"/>
    </row>
    <row r="37" spans="1:14" s="61" customFormat="1" ht="27" customHeight="1" thickBot="1" x14ac:dyDescent="0.5">
      <c r="A37" s="120" t="s">
        <v>61</v>
      </c>
      <c r="B37" s="121">
        <v>1</v>
      </c>
      <c r="C37" s="122" t="s">
        <v>62</v>
      </c>
      <c r="D37" s="123" t="s">
        <v>63</v>
      </c>
      <c r="E37" s="124" t="s">
        <v>64</v>
      </c>
      <c r="F37" s="123" t="s">
        <v>63</v>
      </c>
      <c r="G37" s="125" t="s">
        <v>64</v>
      </c>
      <c r="I37" s="126" t="s">
        <v>65</v>
      </c>
      <c r="J37" s="108"/>
      <c r="K37" s="108"/>
      <c r="L37" s="113"/>
      <c r="M37" s="113"/>
      <c r="N37" s="114"/>
    </row>
    <row r="38" spans="1:14" s="61" customFormat="1" ht="26.25" customHeight="1" x14ac:dyDescent="0.45">
      <c r="A38" s="120" t="s">
        <v>66</v>
      </c>
      <c r="B38" s="121">
        <v>1</v>
      </c>
      <c r="C38" s="127">
        <v>1</v>
      </c>
      <c r="D38" s="128">
        <v>7689427</v>
      </c>
      <c r="E38" s="129">
        <f>IF(ISBLANK(D38),"-",$D$48/$D$45*D38)</f>
        <v>6333894.4203622285</v>
      </c>
      <c r="F38" s="128">
        <v>6309297</v>
      </c>
      <c r="G38" s="130">
        <f>IF(ISBLANK(F38),"-",$D$48/$F$45*F38)</f>
        <v>6310716.9113050438</v>
      </c>
      <c r="I38" s="131"/>
      <c r="J38" s="108"/>
      <c r="K38" s="108"/>
      <c r="L38" s="113"/>
      <c r="M38" s="113"/>
      <c r="N38" s="114"/>
    </row>
    <row r="39" spans="1:14" s="61" customFormat="1" ht="26.25" customHeight="1" x14ac:dyDescent="0.45">
      <c r="A39" s="120" t="s">
        <v>67</v>
      </c>
      <c r="B39" s="121">
        <v>1</v>
      </c>
      <c r="C39" s="132">
        <v>2</v>
      </c>
      <c r="D39" s="133">
        <v>7689148</v>
      </c>
      <c r="E39" s="134">
        <f>IF(ISBLANK(D39),"-",$D$48/$D$45*D39)</f>
        <v>6333664.6039476534</v>
      </c>
      <c r="F39" s="133">
        <v>6308213</v>
      </c>
      <c r="G39" s="135">
        <f>IF(ISBLANK(F39),"-",$D$48/$F$45*F39)</f>
        <v>6309632.6673501544</v>
      </c>
      <c r="I39" s="593">
        <f>ABS((F43/D43*D42)-F42)/D42</f>
        <v>3.000234786790951E-3</v>
      </c>
      <c r="J39" s="108"/>
      <c r="K39" s="108"/>
      <c r="L39" s="113"/>
      <c r="M39" s="113"/>
      <c r="N39" s="114"/>
    </row>
    <row r="40" spans="1:14" ht="26.25" customHeight="1" x14ac:dyDescent="0.45">
      <c r="A40" s="120" t="s">
        <v>68</v>
      </c>
      <c r="B40" s="121">
        <v>1</v>
      </c>
      <c r="C40" s="132">
        <v>3</v>
      </c>
      <c r="D40" s="133">
        <v>7687659</v>
      </c>
      <c r="E40" s="134">
        <f>IF(ISBLANK(D40),"-",$D$48/$D$45*D40)</f>
        <v>6332438.0926885018</v>
      </c>
      <c r="F40" s="133">
        <v>6309008</v>
      </c>
      <c r="G40" s="135">
        <f>IF(ISBLANK(F40),"-",$D$48/$F$45*F40)</f>
        <v>6310427.8462654101</v>
      </c>
      <c r="I40" s="593"/>
      <c r="L40" s="113"/>
      <c r="M40" s="113"/>
      <c r="N40" s="94"/>
    </row>
    <row r="41" spans="1:14" ht="27" customHeight="1" thickBot="1" x14ac:dyDescent="0.5">
      <c r="A41" s="120" t="s">
        <v>69</v>
      </c>
      <c r="B41" s="121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I41" s="140"/>
      <c r="L41" s="113"/>
      <c r="M41" s="113"/>
      <c r="N41" s="94"/>
    </row>
    <row r="42" spans="1:14" ht="27" customHeight="1" thickBot="1" x14ac:dyDescent="0.5">
      <c r="A42" s="120" t="s">
        <v>70</v>
      </c>
      <c r="B42" s="121">
        <v>1</v>
      </c>
      <c r="C42" s="141" t="s">
        <v>71</v>
      </c>
      <c r="D42" s="142">
        <f>AVERAGE(D38:D41)</f>
        <v>7688744.666666667</v>
      </c>
      <c r="E42" s="143">
        <f>AVERAGE(E38:E41)</f>
        <v>6333332.3723327937</v>
      </c>
      <c r="F42" s="142">
        <f>AVERAGE(F38:F41)</f>
        <v>6308839.333333333</v>
      </c>
      <c r="G42" s="144">
        <f>AVERAGE(G38:G41)</f>
        <v>6310259.1416402021</v>
      </c>
      <c r="H42" s="85"/>
    </row>
    <row r="43" spans="1:14" ht="26.25" customHeight="1" x14ac:dyDescent="0.45">
      <c r="A43" s="120" t="s">
        <v>72</v>
      </c>
      <c r="B43" s="121">
        <v>1</v>
      </c>
      <c r="C43" s="145" t="s">
        <v>73</v>
      </c>
      <c r="D43" s="146">
        <v>9.86</v>
      </c>
      <c r="E43" s="94"/>
      <c r="F43" s="146">
        <v>8.1199999999999992</v>
      </c>
      <c r="H43" s="85"/>
    </row>
    <row r="44" spans="1:14" ht="26.25" customHeight="1" x14ac:dyDescent="0.45">
      <c r="A44" s="120" t="s">
        <v>74</v>
      </c>
      <c r="B44" s="121">
        <v>1</v>
      </c>
      <c r="C44" s="147" t="s">
        <v>75</v>
      </c>
      <c r="D44" s="148">
        <f>D43*$B$34</f>
        <v>9.86</v>
      </c>
      <c r="E44" s="149"/>
      <c r="F44" s="148">
        <f>F43*$B$34</f>
        <v>8.1199999999999992</v>
      </c>
      <c r="H44" s="85"/>
    </row>
    <row r="45" spans="1:14" ht="19.5" customHeight="1" thickBot="1" x14ac:dyDescent="0.4">
      <c r="A45" s="120" t="s">
        <v>76</v>
      </c>
      <c r="B45" s="132">
        <f>(B44/B43)*(B42/B41)*(B40/B39)*(B38/B37)*B36</f>
        <v>100</v>
      </c>
      <c r="C45" s="147" t="s">
        <v>77</v>
      </c>
      <c r="D45" s="150">
        <f>D44*$B$30/100</f>
        <v>9.7120999999999995</v>
      </c>
      <c r="E45" s="151"/>
      <c r="F45" s="150">
        <f>F44*$B$30/100</f>
        <v>7.9981999999999998</v>
      </c>
      <c r="H45" s="85"/>
    </row>
    <row r="46" spans="1:14" ht="19.5" customHeight="1" thickBot="1" x14ac:dyDescent="0.4">
      <c r="A46" s="594" t="s">
        <v>78</v>
      </c>
      <c r="B46" s="598"/>
      <c r="C46" s="147" t="s">
        <v>79</v>
      </c>
      <c r="D46" s="152">
        <f>D45/$B$45</f>
        <v>9.7120999999999999E-2</v>
      </c>
      <c r="E46" s="153"/>
      <c r="F46" s="154">
        <f>F45/$B$45</f>
        <v>7.9981999999999998E-2</v>
      </c>
      <c r="H46" s="85"/>
    </row>
    <row r="47" spans="1:14" ht="27" customHeight="1" thickBot="1" x14ac:dyDescent="0.5">
      <c r="A47" s="596"/>
      <c r="B47" s="599"/>
      <c r="C47" s="155" t="s">
        <v>80</v>
      </c>
      <c r="D47" s="156">
        <v>0.08</v>
      </c>
      <c r="E47" s="157"/>
      <c r="F47" s="153"/>
      <c r="H47" s="85"/>
    </row>
    <row r="48" spans="1:14" ht="18" x14ac:dyDescent="0.35">
      <c r="C48" s="158" t="s">
        <v>81</v>
      </c>
      <c r="D48" s="150">
        <f>D47*$B$45</f>
        <v>8</v>
      </c>
      <c r="F48" s="159"/>
      <c r="H48" s="85"/>
    </row>
    <row r="49" spans="1:12" ht="19.5" customHeight="1" thickBot="1" x14ac:dyDescent="0.4">
      <c r="C49" s="160" t="s">
        <v>82</v>
      </c>
      <c r="D49" s="161">
        <f>D48/B34</f>
        <v>8</v>
      </c>
      <c r="F49" s="159"/>
      <c r="H49" s="85"/>
    </row>
    <row r="50" spans="1:12" ht="18" x14ac:dyDescent="0.35">
      <c r="C50" s="118" t="s">
        <v>83</v>
      </c>
      <c r="D50" s="162">
        <f>AVERAGE(E38:E41,G38:G41)</f>
        <v>6321795.7569864988</v>
      </c>
      <c r="F50" s="163"/>
      <c r="H50" s="85"/>
    </row>
    <row r="51" spans="1:12" ht="18" x14ac:dyDescent="0.35">
      <c r="C51" s="120" t="s">
        <v>84</v>
      </c>
      <c r="D51" s="164">
        <f>STDEV(E38:E41,G38:G41)/D50</f>
        <v>2.0013950138744576E-3</v>
      </c>
      <c r="F51" s="163"/>
      <c r="H51" s="85"/>
    </row>
    <row r="52" spans="1:12" ht="19.5" customHeight="1" thickBot="1" x14ac:dyDescent="0.4">
      <c r="C52" s="165" t="s">
        <v>20</v>
      </c>
      <c r="D52" s="166">
        <f>COUNT(E38:E41,G38:G41)</f>
        <v>6</v>
      </c>
      <c r="F52" s="163"/>
    </row>
    <row r="54" spans="1:12" ht="18" x14ac:dyDescent="0.35">
      <c r="A54" s="167" t="s">
        <v>1</v>
      </c>
      <c r="B54" s="168" t="s">
        <v>85</v>
      </c>
    </row>
    <row r="55" spans="1:12" ht="18" x14ac:dyDescent="0.35">
      <c r="A55" s="94" t="s">
        <v>86</v>
      </c>
      <c r="B55" s="169" t="str">
        <f>B21</f>
        <v xml:space="preserve">Rifampicin 60mg, Isoniazid 30mg, Pyrazinamide 150mg 
</v>
      </c>
    </row>
    <row r="56" spans="1:12" ht="26.25" customHeight="1" x14ac:dyDescent="0.45">
      <c r="A56" s="169" t="s">
        <v>87</v>
      </c>
      <c r="B56" s="170">
        <v>30</v>
      </c>
      <c r="C56" s="94" t="str">
        <f>B26</f>
        <v>Isoniazid</v>
      </c>
      <c r="H56" s="149"/>
    </row>
    <row r="57" spans="1:12" ht="18" x14ac:dyDescent="0.35">
      <c r="A57" s="169" t="s">
        <v>143</v>
      </c>
      <c r="B57" s="171">
        <f>Uniformity!C46</f>
        <v>301.16300000000001</v>
      </c>
      <c r="H57" s="149"/>
    </row>
    <row r="58" spans="1:12" ht="19.5" customHeight="1" thickBot="1" x14ac:dyDescent="0.4">
      <c r="H58" s="149"/>
    </row>
    <row r="59" spans="1:12" s="61" customFormat="1" ht="27" customHeight="1" thickBot="1" x14ac:dyDescent="0.5">
      <c r="A59" s="118" t="s">
        <v>89</v>
      </c>
      <c r="B59" s="119">
        <v>100</v>
      </c>
      <c r="C59" s="94"/>
      <c r="D59" s="172" t="s">
        <v>90</v>
      </c>
      <c r="E59" s="173" t="s">
        <v>62</v>
      </c>
      <c r="F59" s="173" t="s">
        <v>63</v>
      </c>
      <c r="G59" s="173" t="s">
        <v>91</v>
      </c>
      <c r="H59" s="122" t="s">
        <v>92</v>
      </c>
      <c r="L59" s="108"/>
    </row>
    <row r="60" spans="1:12" s="61" customFormat="1" ht="26.25" customHeight="1" x14ac:dyDescent="0.45">
      <c r="A60" s="120" t="s">
        <v>93</v>
      </c>
      <c r="B60" s="121">
        <v>1</v>
      </c>
      <c r="C60" s="604" t="s">
        <v>94</v>
      </c>
      <c r="D60" s="607">
        <v>79.3</v>
      </c>
      <c r="E60" s="174">
        <v>1</v>
      </c>
      <c r="F60" s="175">
        <v>6394345</v>
      </c>
      <c r="G60" s="176">
        <f>IF(ISBLANK(F60),"-",(F60/$D$50*$D$47*$B$68)*($B$57/$D$60))</f>
        <v>30.730810753066454</v>
      </c>
      <c r="H60" s="177">
        <f t="shared" ref="H60:H71" si="0">IF(ISBLANK(F60),"-",G60/$B$56)</f>
        <v>1.0243603584355485</v>
      </c>
      <c r="L60" s="108"/>
    </row>
    <row r="61" spans="1:12" s="61" customFormat="1" ht="26.25" customHeight="1" x14ac:dyDescent="0.45">
      <c r="A61" s="120" t="s">
        <v>95</v>
      </c>
      <c r="B61" s="121">
        <v>1</v>
      </c>
      <c r="C61" s="605"/>
      <c r="D61" s="608"/>
      <c r="E61" s="178">
        <v>2</v>
      </c>
      <c r="F61" s="133">
        <v>6404396</v>
      </c>
      <c r="G61" s="179">
        <f>IF(ISBLANK(F61),"-",(F61/$D$50*$D$47*$B$68)*($B$57/$D$60))</f>
        <v>30.779115212534791</v>
      </c>
      <c r="H61" s="180">
        <f t="shared" si="0"/>
        <v>1.0259705070844931</v>
      </c>
      <c r="L61" s="108"/>
    </row>
    <row r="62" spans="1:12" s="61" customFormat="1" ht="26.25" customHeight="1" x14ac:dyDescent="0.45">
      <c r="A62" s="120" t="s">
        <v>96</v>
      </c>
      <c r="B62" s="121">
        <v>1</v>
      </c>
      <c r="C62" s="605"/>
      <c r="D62" s="608"/>
      <c r="E62" s="178">
        <v>3</v>
      </c>
      <c r="F62" s="181">
        <v>6407846</v>
      </c>
      <c r="G62" s="179">
        <f>IF(ISBLANK(F62),"-",(F62/$D$50*$D$47*$B$68)*($B$57/$D$60))</f>
        <v>30.795695690613162</v>
      </c>
      <c r="H62" s="180">
        <f t="shared" si="0"/>
        <v>1.0265231896871054</v>
      </c>
      <c r="L62" s="108"/>
    </row>
    <row r="63" spans="1:12" ht="27" customHeight="1" thickBot="1" x14ac:dyDescent="0.5">
      <c r="A63" s="120" t="s">
        <v>97</v>
      </c>
      <c r="B63" s="121">
        <v>1</v>
      </c>
      <c r="C63" s="606"/>
      <c r="D63" s="609"/>
      <c r="E63" s="182">
        <v>4</v>
      </c>
      <c r="F63" s="183"/>
      <c r="G63" s="179" t="str">
        <f>IF(ISBLANK(F63),"-",(F63/$D$50*$D$47*$B$68)*($B$57/$D$60))</f>
        <v>-</v>
      </c>
      <c r="H63" s="180" t="str">
        <f t="shared" si="0"/>
        <v>-</v>
      </c>
    </row>
    <row r="64" spans="1:12" ht="26.25" customHeight="1" x14ac:dyDescent="0.45">
      <c r="A64" s="120" t="s">
        <v>98</v>
      </c>
      <c r="B64" s="121">
        <v>1</v>
      </c>
      <c r="C64" s="604" t="s">
        <v>99</v>
      </c>
      <c r="D64" s="607">
        <v>83.85</v>
      </c>
      <c r="E64" s="174">
        <v>1</v>
      </c>
      <c r="F64" s="175">
        <v>6942385</v>
      </c>
      <c r="G64" s="184">
        <f>IF(ISBLANK(F64),"-",(F64/$D$50*$D$47*$B$68)*($B$57/$D$64))</f>
        <v>31.554170545122258</v>
      </c>
      <c r="H64" s="185">
        <f t="shared" si="0"/>
        <v>1.0518056848374087</v>
      </c>
    </row>
    <row r="65" spans="1:8" ht="26.25" customHeight="1" x14ac:dyDescent="0.45">
      <c r="A65" s="120" t="s">
        <v>100</v>
      </c>
      <c r="B65" s="121">
        <v>1</v>
      </c>
      <c r="C65" s="605"/>
      <c r="D65" s="608"/>
      <c r="E65" s="178">
        <v>2</v>
      </c>
      <c r="F65" s="133">
        <v>6940076</v>
      </c>
      <c r="G65" s="186">
        <f>IF(ISBLANK(F65),"-",(F65/$D$50*$D$47*$B$68)*($B$57/$D$64))</f>
        <v>31.543675797310279</v>
      </c>
      <c r="H65" s="187">
        <f t="shared" si="0"/>
        <v>1.0514558599103425</v>
      </c>
    </row>
    <row r="66" spans="1:8" ht="26.25" customHeight="1" x14ac:dyDescent="0.45">
      <c r="A66" s="120" t="s">
        <v>101</v>
      </c>
      <c r="B66" s="121">
        <v>1</v>
      </c>
      <c r="C66" s="605"/>
      <c r="D66" s="608"/>
      <c r="E66" s="178">
        <v>3</v>
      </c>
      <c r="F66" s="133">
        <v>6935119</v>
      </c>
      <c r="G66" s="186">
        <f>IF(ISBLANK(F66),"-",(F66/$D$50*$D$47*$B$68)*($B$57/$D$64))</f>
        <v>31.521145496355757</v>
      </c>
      <c r="H66" s="187">
        <f t="shared" si="0"/>
        <v>1.0507048498785252</v>
      </c>
    </row>
    <row r="67" spans="1:8" ht="27" customHeight="1" thickBot="1" x14ac:dyDescent="0.5">
      <c r="A67" s="120" t="s">
        <v>102</v>
      </c>
      <c r="B67" s="121">
        <v>1</v>
      </c>
      <c r="C67" s="606"/>
      <c r="D67" s="609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5">
      <c r="A68" s="120" t="s">
        <v>103</v>
      </c>
      <c r="B68" s="190">
        <f>(B67/B66)*(B65/B64)*(B63/B62)*(B61/B60)*B59</f>
        <v>100</v>
      </c>
      <c r="C68" s="604" t="s">
        <v>104</v>
      </c>
      <c r="D68" s="607">
        <v>82.16</v>
      </c>
      <c r="E68" s="174">
        <v>1</v>
      </c>
      <c r="F68" s="175"/>
      <c r="G68" s="184" t="str">
        <f>IF(ISBLANK(F68),"-",(F68/$D$50*$D$47*$B$68)*($B$57/$D$68))</f>
        <v>-</v>
      </c>
      <c r="H68" s="180" t="str">
        <f t="shared" si="0"/>
        <v>-</v>
      </c>
    </row>
    <row r="69" spans="1:8" ht="27" customHeight="1" thickBot="1" x14ac:dyDescent="0.55000000000000004">
      <c r="A69" s="165" t="s">
        <v>105</v>
      </c>
      <c r="B69" s="191">
        <f>(D47*B68)/B56*B57</f>
        <v>80.31013333333334</v>
      </c>
      <c r="C69" s="605"/>
      <c r="D69" s="608"/>
      <c r="E69" s="178">
        <v>2</v>
      </c>
      <c r="F69" s="133"/>
      <c r="G69" s="186" t="str">
        <f>IF(ISBLANK(F69),"-",(F69/$D$50*$D$47*$B$68)*($B$57/$D$68))</f>
        <v>-</v>
      </c>
      <c r="H69" s="180" t="str">
        <f t="shared" si="0"/>
        <v>-</v>
      </c>
    </row>
    <row r="70" spans="1:8" ht="26.25" customHeight="1" x14ac:dyDescent="0.45">
      <c r="A70" s="618" t="s">
        <v>78</v>
      </c>
      <c r="B70" s="619"/>
      <c r="C70" s="605"/>
      <c r="D70" s="608"/>
      <c r="E70" s="178">
        <v>3</v>
      </c>
      <c r="F70" s="133"/>
      <c r="G70" s="186" t="str">
        <f>IF(ISBLANK(F70),"-",(F70/$D$50*$D$47*$B$68)*($B$57/$D$68))</f>
        <v>-</v>
      </c>
      <c r="H70" s="180" t="str">
        <f t="shared" si="0"/>
        <v>-</v>
      </c>
    </row>
    <row r="71" spans="1:8" ht="27" customHeight="1" thickBot="1" x14ac:dyDescent="0.5">
      <c r="A71" s="620"/>
      <c r="B71" s="621"/>
      <c r="C71" s="610"/>
      <c r="D71" s="609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5">
      <c r="A72" s="149"/>
      <c r="B72" s="149"/>
      <c r="C72" s="149"/>
      <c r="D72" s="149"/>
      <c r="E72" s="149"/>
      <c r="F72" s="193" t="s">
        <v>71</v>
      </c>
      <c r="G72" s="194">
        <f>AVERAGE(G60:G71)</f>
        <v>31.154102249167114</v>
      </c>
      <c r="H72" s="195">
        <f>AVERAGE(H60:H71)</f>
        <v>1.0384700749722373</v>
      </c>
    </row>
    <row r="73" spans="1:8" ht="26.25" customHeight="1" x14ac:dyDescent="0.45">
      <c r="C73" s="149"/>
      <c r="D73" s="149"/>
      <c r="E73" s="149"/>
      <c r="F73" s="196" t="s">
        <v>84</v>
      </c>
      <c r="G73" s="197">
        <f>STDEV(G60:G71)/G72</f>
        <v>1.3578760092774273E-2</v>
      </c>
      <c r="H73" s="197">
        <f>STDEV(H60:H71)/H72</f>
        <v>1.3578760092774225E-2</v>
      </c>
    </row>
    <row r="74" spans="1:8" ht="27" customHeight="1" thickBot="1" x14ac:dyDescent="0.5">
      <c r="A74" s="149"/>
      <c r="B74" s="149"/>
      <c r="C74" s="149"/>
      <c r="D74" s="149"/>
      <c r="E74" s="151"/>
      <c r="F74" s="198" t="s">
        <v>20</v>
      </c>
      <c r="G74" s="199">
        <f>COUNT(G60:G71)</f>
        <v>6</v>
      </c>
      <c r="H74" s="199">
        <f>COUNT(H60:H71)</f>
        <v>6</v>
      </c>
    </row>
    <row r="76" spans="1:8" ht="26.25" customHeight="1" x14ac:dyDescent="0.45">
      <c r="A76" s="104" t="s">
        <v>106</v>
      </c>
      <c r="B76" s="105" t="s">
        <v>107</v>
      </c>
      <c r="C76" s="600" t="str">
        <f>B20</f>
        <v xml:space="preserve">Rifampicin, Isoniazid, Pyrazinamide 
</v>
      </c>
      <c r="D76" s="600"/>
      <c r="E76" s="94" t="s">
        <v>108</v>
      </c>
      <c r="F76" s="94"/>
      <c r="G76" s="200">
        <f>H72</f>
        <v>1.0384700749722373</v>
      </c>
      <c r="H76" s="109"/>
    </row>
    <row r="77" spans="1:8" ht="18" x14ac:dyDescent="0.35">
      <c r="A77" s="103" t="s">
        <v>109</v>
      </c>
      <c r="B77" s="103" t="s">
        <v>110</v>
      </c>
    </row>
    <row r="78" spans="1:8" ht="18" x14ac:dyDescent="0.35">
      <c r="A78" s="103"/>
      <c r="B78" s="103"/>
    </row>
    <row r="79" spans="1:8" ht="26.25" customHeight="1" x14ac:dyDescent="0.45">
      <c r="A79" s="104" t="s">
        <v>4</v>
      </c>
      <c r="B79" s="611" t="str">
        <f>B26</f>
        <v>Isoniazid</v>
      </c>
      <c r="C79" s="611"/>
    </row>
    <row r="80" spans="1:8" ht="26.25" customHeight="1" x14ac:dyDescent="0.45">
      <c r="A80" s="105" t="s">
        <v>48</v>
      </c>
      <c r="B80" s="611" t="str">
        <f>B27</f>
        <v>I8-2</v>
      </c>
      <c r="C80" s="611"/>
    </row>
    <row r="81" spans="1:12" ht="27" customHeight="1" thickBot="1" x14ac:dyDescent="0.5">
      <c r="A81" s="105" t="s">
        <v>6</v>
      </c>
      <c r="B81" s="106">
        <f>B28</f>
        <v>98.5</v>
      </c>
    </row>
    <row r="82" spans="1:12" s="61" customFormat="1" ht="27" customHeight="1" thickBot="1" x14ac:dyDescent="0.55000000000000004">
      <c r="A82" s="105" t="s">
        <v>49</v>
      </c>
      <c r="B82" s="107">
        <v>0</v>
      </c>
      <c r="C82" s="612" t="s">
        <v>50</v>
      </c>
      <c r="D82" s="613"/>
      <c r="E82" s="613"/>
      <c r="F82" s="613"/>
      <c r="G82" s="614"/>
      <c r="I82" s="108"/>
      <c r="J82" s="108"/>
      <c r="K82" s="108"/>
      <c r="L82" s="108"/>
    </row>
    <row r="83" spans="1:12" s="61" customFormat="1" ht="19.5" customHeight="1" thickBot="1" x14ac:dyDescent="0.4">
      <c r="A83" s="105" t="s">
        <v>51</v>
      </c>
      <c r="B83" s="109">
        <f>B81-B82</f>
        <v>98.5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61" customFormat="1" ht="27" customHeight="1" thickBot="1" x14ac:dyDescent="0.5">
      <c r="A84" s="105" t="s">
        <v>52</v>
      </c>
      <c r="B84" s="112">
        <v>1</v>
      </c>
      <c r="C84" s="615" t="s">
        <v>111</v>
      </c>
      <c r="D84" s="616"/>
      <c r="E84" s="616"/>
      <c r="F84" s="616"/>
      <c r="G84" s="616"/>
      <c r="H84" s="617"/>
      <c r="I84" s="108"/>
      <c r="J84" s="108"/>
      <c r="K84" s="108"/>
      <c r="L84" s="108"/>
    </row>
    <row r="85" spans="1:12" s="61" customFormat="1" ht="27" customHeight="1" thickBot="1" x14ac:dyDescent="0.5">
      <c r="A85" s="105" t="s">
        <v>54</v>
      </c>
      <c r="B85" s="112">
        <v>1</v>
      </c>
      <c r="C85" s="615" t="s">
        <v>112</v>
      </c>
      <c r="D85" s="616"/>
      <c r="E85" s="616"/>
      <c r="F85" s="616"/>
      <c r="G85" s="616"/>
      <c r="H85" s="617"/>
      <c r="I85" s="108"/>
      <c r="J85" s="108"/>
      <c r="K85" s="108"/>
      <c r="L85" s="108"/>
    </row>
    <row r="86" spans="1:12" s="61" customFormat="1" ht="18" x14ac:dyDescent="0.35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61" customFormat="1" ht="18" x14ac:dyDescent="0.35">
      <c r="A87" s="105" t="s">
        <v>56</v>
      </c>
      <c r="B87" s="117">
        <f>B84/B85</f>
        <v>1</v>
      </c>
      <c r="C87" s="94" t="s">
        <v>57</v>
      </c>
      <c r="D87" s="94"/>
      <c r="E87" s="94"/>
      <c r="F87" s="94"/>
      <c r="G87" s="94"/>
      <c r="I87" s="108"/>
      <c r="J87" s="108"/>
      <c r="K87" s="108"/>
      <c r="L87" s="108"/>
    </row>
    <row r="88" spans="1:12" ht="19.5" customHeight="1" thickBot="1" x14ac:dyDescent="0.4">
      <c r="A88" s="103"/>
      <c r="B88" s="103"/>
    </row>
    <row r="89" spans="1:12" ht="27" customHeight="1" thickBot="1" x14ac:dyDescent="0.5">
      <c r="A89" s="118" t="s">
        <v>58</v>
      </c>
      <c r="B89" s="119">
        <v>100</v>
      </c>
      <c r="D89" s="201" t="s">
        <v>59</v>
      </c>
      <c r="E89" s="202"/>
      <c r="F89" s="602" t="s">
        <v>60</v>
      </c>
      <c r="G89" s="603"/>
    </row>
    <row r="90" spans="1:12" ht="27" customHeight="1" thickBot="1" x14ac:dyDescent="0.5">
      <c r="A90" s="120" t="s">
        <v>61</v>
      </c>
      <c r="B90" s="121">
        <v>10</v>
      </c>
      <c r="C90" s="203" t="s">
        <v>62</v>
      </c>
      <c r="D90" s="123" t="s">
        <v>63</v>
      </c>
      <c r="E90" s="124" t="s">
        <v>64</v>
      </c>
      <c r="F90" s="123" t="s">
        <v>63</v>
      </c>
      <c r="G90" s="204" t="s">
        <v>64</v>
      </c>
      <c r="I90" s="126" t="s">
        <v>65</v>
      </c>
    </row>
    <row r="91" spans="1:12" ht="26.25" customHeight="1" x14ac:dyDescent="0.45">
      <c r="A91" s="120" t="s">
        <v>66</v>
      </c>
      <c r="B91" s="121">
        <v>25</v>
      </c>
      <c r="C91" s="205">
        <v>1</v>
      </c>
      <c r="D91" s="128">
        <v>3070338</v>
      </c>
      <c r="E91" s="129">
        <f>IF(ISBLANK(D91),"-",$D$101/$D$98*D91)</f>
        <v>2634461.1361085656</v>
      </c>
      <c r="F91" s="128">
        <v>2521134</v>
      </c>
      <c r="G91" s="130">
        <f>IF(ISBLANK(F91),"-",$D$101/$F$98*F91)</f>
        <v>2626772.2737615965</v>
      </c>
      <c r="I91" s="131"/>
    </row>
    <row r="92" spans="1:12" ht="26.25" customHeight="1" x14ac:dyDescent="0.45">
      <c r="A92" s="120" t="s">
        <v>67</v>
      </c>
      <c r="B92" s="121">
        <v>1</v>
      </c>
      <c r="C92" s="149">
        <v>2</v>
      </c>
      <c r="D92" s="133">
        <v>3086043</v>
      </c>
      <c r="E92" s="134">
        <f>IF(ISBLANK(D92),"-",$D$101/$D$98*D92)</f>
        <v>2647936.5945573049</v>
      </c>
      <c r="F92" s="133">
        <v>2521678</v>
      </c>
      <c r="G92" s="135">
        <f>IF(ISBLANK(F92),"-",$D$101/$F$98*F92)</f>
        <v>2627339.067956957</v>
      </c>
      <c r="I92" s="593">
        <f>ABS((F96/D96*D95)-F95)/D95</f>
        <v>2.8616081943513426E-3</v>
      </c>
    </row>
    <row r="93" spans="1:12" ht="26.25" customHeight="1" x14ac:dyDescent="0.45">
      <c r="A93" s="120" t="s">
        <v>68</v>
      </c>
      <c r="B93" s="121">
        <v>1</v>
      </c>
      <c r="C93" s="149">
        <v>3</v>
      </c>
      <c r="D93" s="133">
        <v>3070434</v>
      </c>
      <c r="E93" s="134">
        <f>IF(ISBLANK(D93),"-",$D$101/$D$98*D93)</f>
        <v>2634543.5075833243</v>
      </c>
      <c r="F93" s="133">
        <v>2529338</v>
      </c>
      <c r="G93" s="135">
        <f>IF(ISBLANK(F93),"-",$D$101/$F$98*F93)</f>
        <v>2635320.0303401602</v>
      </c>
      <c r="I93" s="593"/>
    </row>
    <row r="94" spans="1:12" ht="27" customHeight="1" thickBot="1" x14ac:dyDescent="0.5">
      <c r="A94" s="120" t="s">
        <v>69</v>
      </c>
      <c r="B94" s="121">
        <v>1</v>
      </c>
      <c r="C94" s="206">
        <v>4</v>
      </c>
      <c r="D94" s="137"/>
      <c r="E94" s="138" t="str">
        <f>IF(ISBLANK(D94),"-",$D$101/$D$98*D94)</f>
        <v>-</v>
      </c>
      <c r="F94" s="207"/>
      <c r="G94" s="139" t="str">
        <f>IF(ISBLANK(F94),"-",$D$101/$F$98*F94)</f>
        <v>-</v>
      </c>
      <c r="I94" s="140"/>
    </row>
    <row r="95" spans="1:12" ht="27" customHeight="1" thickBot="1" x14ac:dyDescent="0.5">
      <c r="A95" s="120" t="s">
        <v>70</v>
      </c>
      <c r="B95" s="121">
        <v>1</v>
      </c>
      <c r="C95" s="105" t="s">
        <v>71</v>
      </c>
      <c r="D95" s="208">
        <f>AVERAGE(D91:D94)</f>
        <v>3075605</v>
      </c>
      <c r="E95" s="143">
        <f>AVERAGE(E91:E94)</f>
        <v>2638980.4127497314</v>
      </c>
      <c r="F95" s="209">
        <f>AVERAGE(F91:F94)</f>
        <v>2524050</v>
      </c>
      <c r="G95" s="210">
        <f>AVERAGE(G91:G94)</f>
        <v>2629810.4573529046</v>
      </c>
    </row>
    <row r="96" spans="1:12" ht="26.25" customHeight="1" x14ac:dyDescent="0.45">
      <c r="A96" s="120" t="s">
        <v>72</v>
      </c>
      <c r="B96" s="106">
        <v>1</v>
      </c>
      <c r="C96" s="211" t="s">
        <v>113</v>
      </c>
      <c r="D96" s="212">
        <v>9.86</v>
      </c>
      <c r="E96" s="94"/>
      <c r="F96" s="146">
        <v>8.1199999999999992</v>
      </c>
    </row>
    <row r="97" spans="1:10" ht="26.25" customHeight="1" x14ac:dyDescent="0.45">
      <c r="A97" s="120" t="s">
        <v>74</v>
      </c>
      <c r="B97" s="106">
        <v>1</v>
      </c>
      <c r="C97" s="213" t="s">
        <v>114</v>
      </c>
      <c r="D97" s="214">
        <f>D96*$B$87</f>
        <v>9.86</v>
      </c>
      <c r="E97" s="149"/>
      <c r="F97" s="148">
        <f>F96*$B$87</f>
        <v>8.1199999999999992</v>
      </c>
    </row>
    <row r="98" spans="1:10" ht="19.5" customHeight="1" thickBot="1" x14ac:dyDescent="0.4">
      <c r="A98" s="120" t="s">
        <v>76</v>
      </c>
      <c r="B98" s="149">
        <f>(B97/B96)*(B95/B94)*(B93/B92)*(B91/B90)*B89</f>
        <v>250</v>
      </c>
      <c r="C98" s="213" t="s">
        <v>115</v>
      </c>
      <c r="D98" s="215">
        <f>D97*$B$83/100</f>
        <v>9.7120999999999995</v>
      </c>
      <c r="E98" s="151"/>
      <c r="F98" s="150">
        <f>F97*$B$83/100</f>
        <v>7.9981999999999998</v>
      </c>
    </row>
    <row r="99" spans="1:10" ht="19.5" customHeight="1" thickBot="1" x14ac:dyDescent="0.4">
      <c r="A99" s="594" t="s">
        <v>78</v>
      </c>
      <c r="B99" s="595"/>
      <c r="C99" s="213" t="s">
        <v>116</v>
      </c>
      <c r="D99" s="216">
        <f>D98/$B$98</f>
        <v>3.8848399999999998E-2</v>
      </c>
      <c r="E99" s="151"/>
      <c r="F99" s="154">
        <f>F98/$B$98</f>
        <v>3.1992800000000002E-2</v>
      </c>
      <c r="H99" s="85"/>
    </row>
    <row r="100" spans="1:10" ht="19.5" customHeight="1" thickBot="1" x14ac:dyDescent="0.4">
      <c r="A100" s="596"/>
      <c r="B100" s="597"/>
      <c r="C100" s="213" t="s">
        <v>80</v>
      </c>
      <c r="D100" s="217">
        <f>$B$56/$B$116</f>
        <v>3.3333333333333333E-2</v>
      </c>
      <c r="F100" s="159"/>
      <c r="G100" s="218"/>
      <c r="H100" s="85"/>
    </row>
    <row r="101" spans="1:10" ht="18" x14ac:dyDescent="0.35">
      <c r="C101" s="213" t="s">
        <v>81</v>
      </c>
      <c r="D101" s="214">
        <f>D100*$B$98</f>
        <v>8.3333333333333339</v>
      </c>
      <c r="F101" s="159"/>
      <c r="H101" s="85"/>
    </row>
    <row r="102" spans="1:10" ht="19.5" customHeight="1" thickBot="1" x14ac:dyDescent="0.4">
      <c r="C102" s="219" t="s">
        <v>82</v>
      </c>
      <c r="D102" s="220">
        <f>D101/B34</f>
        <v>8.3333333333333339</v>
      </c>
      <c r="F102" s="163"/>
      <c r="H102" s="85"/>
      <c r="J102" s="221"/>
    </row>
    <row r="103" spans="1:10" ht="18" x14ac:dyDescent="0.35">
      <c r="C103" s="222" t="s">
        <v>117</v>
      </c>
      <c r="D103" s="223">
        <f>AVERAGE(E91:E94,G91:G94)</f>
        <v>2634395.4350513183</v>
      </c>
      <c r="F103" s="163"/>
      <c r="G103" s="218"/>
      <c r="H103" s="85"/>
      <c r="J103" s="224"/>
    </row>
    <row r="104" spans="1:10" ht="18" x14ac:dyDescent="0.35">
      <c r="C104" s="196" t="s">
        <v>84</v>
      </c>
      <c r="D104" s="225">
        <f>STDEV(E91:E94,G91:G94)/D103</f>
        <v>2.9015913809756553E-3</v>
      </c>
      <c r="F104" s="163"/>
      <c r="H104" s="85"/>
      <c r="J104" s="224"/>
    </row>
    <row r="105" spans="1:10" ht="19.5" customHeight="1" thickBot="1" x14ac:dyDescent="0.4">
      <c r="C105" s="198" t="s">
        <v>20</v>
      </c>
      <c r="D105" s="226">
        <f>COUNT(E91:E94,G91:G94)</f>
        <v>6</v>
      </c>
      <c r="F105" s="163"/>
      <c r="H105" s="85"/>
      <c r="J105" s="224"/>
    </row>
    <row r="106" spans="1:10" ht="19.5" customHeight="1" thickBot="1" x14ac:dyDescent="0.4">
      <c r="A106" s="167"/>
      <c r="B106" s="167"/>
      <c r="C106" s="167"/>
      <c r="D106" s="167"/>
      <c r="E106" s="167"/>
    </row>
    <row r="107" spans="1:10" ht="26.25" customHeight="1" x14ac:dyDescent="0.45">
      <c r="A107" s="118" t="s">
        <v>118</v>
      </c>
      <c r="B107" s="119">
        <v>900</v>
      </c>
      <c r="C107" s="201" t="s">
        <v>144</v>
      </c>
      <c r="D107" s="227" t="s">
        <v>63</v>
      </c>
      <c r="E107" s="228" t="s">
        <v>120</v>
      </c>
      <c r="F107" s="229" t="s">
        <v>121</v>
      </c>
    </row>
    <row r="108" spans="1:10" ht="26.25" customHeight="1" x14ac:dyDescent="0.45">
      <c r="A108" s="120" t="s">
        <v>122</v>
      </c>
      <c r="B108" s="121">
        <v>1</v>
      </c>
      <c r="C108" s="230">
        <v>1</v>
      </c>
      <c r="D108" s="231">
        <v>2727865</v>
      </c>
      <c r="E108" s="716">
        <f t="shared" ref="E108:E113" si="1">IF(ISBLANK(D108),"-",D108/$D$103*$D$100*$B$116)</f>
        <v>31.064413835201556</v>
      </c>
      <c r="F108" s="232">
        <f t="shared" ref="F108:F113" si="2">IF(ISBLANK(D108), "-", E108/$B$56)</f>
        <v>1.0354804611733852</v>
      </c>
    </row>
    <row r="109" spans="1:10" ht="26.25" customHeight="1" x14ac:dyDescent="0.45">
      <c r="A109" s="120" t="s">
        <v>95</v>
      </c>
      <c r="B109" s="121">
        <v>1</v>
      </c>
      <c r="C109" s="230">
        <v>2</v>
      </c>
      <c r="D109" s="231">
        <v>2534155</v>
      </c>
      <c r="E109" s="717">
        <f t="shared" si="1"/>
        <v>28.858480768859604</v>
      </c>
      <c r="F109" s="233">
        <f t="shared" si="2"/>
        <v>0.96194935896198674</v>
      </c>
    </row>
    <row r="110" spans="1:10" ht="26.25" customHeight="1" x14ac:dyDescent="0.45">
      <c r="A110" s="120" t="s">
        <v>96</v>
      </c>
      <c r="B110" s="121">
        <v>1</v>
      </c>
      <c r="C110" s="230">
        <v>3</v>
      </c>
      <c r="D110" s="231">
        <v>2779495</v>
      </c>
      <c r="E110" s="717">
        <f t="shared" si="1"/>
        <v>31.652366569780234</v>
      </c>
      <c r="F110" s="233">
        <f t="shared" si="2"/>
        <v>1.0550788856593412</v>
      </c>
    </row>
    <row r="111" spans="1:10" ht="26.25" customHeight="1" x14ac:dyDescent="0.45">
      <c r="A111" s="120" t="s">
        <v>97</v>
      </c>
      <c r="B111" s="121">
        <v>1</v>
      </c>
      <c r="C111" s="230">
        <v>4</v>
      </c>
      <c r="D111" s="231">
        <v>2486011</v>
      </c>
      <c r="E111" s="717">
        <f t="shared" si="1"/>
        <v>28.310225946981713</v>
      </c>
      <c r="F111" s="233">
        <f t="shared" si="2"/>
        <v>0.9436741982327238</v>
      </c>
    </row>
    <row r="112" spans="1:10" ht="26.25" customHeight="1" x14ac:dyDescent="0.45">
      <c r="A112" s="120" t="s">
        <v>98</v>
      </c>
      <c r="B112" s="121">
        <v>1</v>
      </c>
      <c r="C112" s="230">
        <v>5</v>
      </c>
      <c r="D112" s="231">
        <v>2592152</v>
      </c>
      <c r="E112" s="717">
        <f t="shared" si="1"/>
        <v>29.518939702567906</v>
      </c>
      <c r="F112" s="233">
        <f t="shared" si="2"/>
        <v>0.98396465675226352</v>
      </c>
    </row>
    <row r="113" spans="1:10" ht="26.25" customHeight="1" x14ac:dyDescent="0.45">
      <c r="A113" s="120" t="s">
        <v>100</v>
      </c>
      <c r="B113" s="121">
        <v>1</v>
      </c>
      <c r="C113" s="234">
        <v>6</v>
      </c>
      <c r="D113" s="235">
        <v>2564108</v>
      </c>
      <c r="E113" s="718">
        <f t="shared" si="1"/>
        <v>29.199579902286583</v>
      </c>
      <c r="F113" s="236">
        <f t="shared" si="2"/>
        <v>0.9733193300762194</v>
      </c>
    </row>
    <row r="114" spans="1:10" ht="26.25" customHeight="1" x14ac:dyDescent="0.45">
      <c r="A114" s="120" t="s">
        <v>101</v>
      </c>
      <c r="B114" s="121">
        <v>1</v>
      </c>
      <c r="C114" s="230"/>
      <c r="D114" s="149"/>
      <c r="E114" s="94"/>
      <c r="F114" s="237"/>
    </row>
    <row r="115" spans="1:10" ht="26.25" customHeight="1" x14ac:dyDescent="0.45">
      <c r="A115" s="120" t="s">
        <v>102</v>
      </c>
      <c r="B115" s="121">
        <v>1</v>
      </c>
      <c r="C115" s="230"/>
      <c r="D115" s="238" t="s">
        <v>71</v>
      </c>
      <c r="E115" s="239">
        <f>AVERAGE(E108:E113)</f>
        <v>29.767334454279602</v>
      </c>
      <c r="F115" s="240">
        <f>AVERAGE(F108:F113)</f>
        <v>0.99224448180932001</v>
      </c>
    </row>
    <row r="116" spans="1:10" ht="27" customHeight="1" thickBot="1" x14ac:dyDescent="0.5">
      <c r="A116" s="120" t="s">
        <v>103</v>
      </c>
      <c r="B116" s="132">
        <f>(B115/B114)*(B113/B112)*(B111/B110)*(B109/B108)*B107</f>
        <v>900</v>
      </c>
      <c r="C116" s="241"/>
      <c r="D116" s="105" t="s">
        <v>84</v>
      </c>
      <c r="E116" s="242">
        <f>STDEV(E108:E113)/E115</f>
        <v>4.3978435709507872E-2</v>
      </c>
      <c r="F116" s="242">
        <f>STDEV(F108:F113)/F115</f>
        <v>4.3978435709507872E-2</v>
      </c>
      <c r="I116" s="94"/>
    </row>
    <row r="117" spans="1:10" ht="27" customHeight="1" thickBot="1" x14ac:dyDescent="0.5">
      <c r="A117" s="594" t="s">
        <v>78</v>
      </c>
      <c r="B117" s="598"/>
      <c r="C117" s="243"/>
      <c r="D117" s="244" t="s">
        <v>20</v>
      </c>
      <c r="E117" s="245">
        <f>COUNT(E108:E113)</f>
        <v>6</v>
      </c>
      <c r="F117" s="245">
        <f>COUNT(F108:F113)</f>
        <v>6</v>
      </c>
      <c r="I117" s="94"/>
      <c r="J117" s="224"/>
    </row>
    <row r="118" spans="1:10" ht="19.5" customHeight="1" thickBot="1" x14ac:dyDescent="0.4">
      <c r="A118" s="596"/>
      <c r="B118" s="599"/>
      <c r="C118" s="94"/>
      <c r="D118" s="94"/>
      <c r="E118" s="94"/>
      <c r="F118" s="149"/>
      <c r="G118" s="94"/>
      <c r="H118" s="94"/>
      <c r="I118" s="94"/>
    </row>
    <row r="119" spans="1:10" ht="18" x14ac:dyDescent="0.35">
      <c r="A119" s="246"/>
      <c r="B119" s="116"/>
      <c r="C119" s="94"/>
      <c r="D119" s="94"/>
      <c r="E119" s="94"/>
      <c r="F119" s="149"/>
      <c r="G119" s="94"/>
      <c r="H119" s="94"/>
      <c r="I119" s="94"/>
    </row>
    <row r="120" spans="1:10" ht="26.25" customHeight="1" x14ac:dyDescent="0.45">
      <c r="A120" s="104" t="s">
        <v>106</v>
      </c>
      <c r="B120" s="105" t="s">
        <v>123</v>
      </c>
      <c r="C120" s="600" t="str">
        <f>B20</f>
        <v xml:space="preserve">Rifampicin, Isoniazid, Pyrazinamide 
</v>
      </c>
      <c r="D120" s="600"/>
      <c r="E120" s="94" t="s">
        <v>124</v>
      </c>
      <c r="F120" s="94"/>
      <c r="G120" s="200">
        <f>F115</f>
        <v>0.99224448180932001</v>
      </c>
      <c r="H120" s="94"/>
      <c r="I120" s="94"/>
    </row>
    <row r="121" spans="1:10" ht="19.5" customHeight="1" thickBot="1" x14ac:dyDescent="0.4">
      <c r="A121" s="247"/>
      <c r="B121" s="247"/>
      <c r="C121" s="248"/>
      <c r="D121" s="248"/>
      <c r="E121" s="248"/>
      <c r="F121" s="248"/>
      <c r="G121" s="248"/>
      <c r="H121" s="248"/>
    </row>
    <row r="122" spans="1:10" ht="18" x14ac:dyDescent="0.35">
      <c r="B122" s="601" t="s">
        <v>26</v>
      </c>
      <c r="C122" s="601"/>
      <c r="E122" s="203" t="s">
        <v>27</v>
      </c>
      <c r="F122" s="249"/>
      <c r="G122" s="601" t="s">
        <v>28</v>
      </c>
      <c r="H122" s="601"/>
    </row>
    <row r="123" spans="1:10" ht="69.900000000000006" customHeight="1" x14ac:dyDescent="0.35">
      <c r="A123" s="104" t="s">
        <v>29</v>
      </c>
      <c r="B123" s="250"/>
      <c r="C123" s="250"/>
      <c r="E123" s="250"/>
      <c r="F123" s="94"/>
      <c r="G123" s="250"/>
      <c r="H123" s="250"/>
    </row>
    <row r="124" spans="1:10" ht="69.900000000000006" customHeight="1" x14ac:dyDescent="0.35">
      <c r="A124" s="104" t="s">
        <v>30</v>
      </c>
      <c r="B124" s="251"/>
      <c r="C124" s="251"/>
      <c r="E124" s="251"/>
      <c r="F124" s="94"/>
      <c r="G124" s="252"/>
      <c r="H124" s="252"/>
    </row>
    <row r="125" spans="1:10" ht="18" x14ac:dyDescent="0.35">
      <c r="A125" s="149"/>
      <c r="B125" s="149"/>
      <c r="C125" s="149"/>
      <c r="D125" s="149"/>
      <c r="E125" s="149"/>
      <c r="F125" s="151"/>
      <c r="G125" s="149"/>
      <c r="H125" s="149"/>
      <c r="I125" s="94"/>
    </row>
    <row r="126" spans="1:10" ht="18" x14ac:dyDescent="0.35">
      <c r="A126" s="149"/>
      <c r="B126" s="149"/>
      <c r="C126" s="149"/>
      <c r="D126" s="149"/>
      <c r="E126" s="149"/>
      <c r="F126" s="151"/>
      <c r="G126" s="149"/>
      <c r="H126" s="149"/>
      <c r="I126" s="94"/>
    </row>
    <row r="127" spans="1:10" ht="18" x14ac:dyDescent="0.35">
      <c r="A127" s="149"/>
      <c r="B127" s="149"/>
      <c r="C127" s="149"/>
      <c r="D127" s="149"/>
      <c r="E127" s="149"/>
      <c r="F127" s="151"/>
      <c r="G127" s="149"/>
      <c r="H127" s="149"/>
      <c r="I127" s="94"/>
    </row>
    <row r="128" spans="1:10" ht="18" x14ac:dyDescent="0.35">
      <c r="A128" s="149"/>
      <c r="B128" s="149"/>
      <c r="C128" s="149"/>
      <c r="D128" s="149"/>
      <c r="E128" s="149"/>
      <c r="F128" s="151"/>
      <c r="G128" s="149"/>
      <c r="H128" s="149"/>
      <c r="I128" s="94"/>
    </row>
    <row r="129" spans="1:9" ht="18" x14ac:dyDescent="0.35">
      <c r="A129" s="149"/>
      <c r="B129" s="149"/>
      <c r="C129" s="149"/>
      <c r="D129" s="149"/>
      <c r="E129" s="149"/>
      <c r="F129" s="151"/>
      <c r="G129" s="149"/>
      <c r="H129" s="149"/>
      <c r="I129" s="94"/>
    </row>
    <row r="130" spans="1:9" ht="18" x14ac:dyDescent="0.35">
      <c r="A130" s="149"/>
      <c r="B130" s="149"/>
      <c r="C130" s="149"/>
      <c r="D130" s="149"/>
      <c r="E130" s="149"/>
      <c r="F130" s="151"/>
      <c r="G130" s="149"/>
      <c r="H130" s="149"/>
      <c r="I130" s="94"/>
    </row>
    <row r="131" spans="1:9" ht="18" x14ac:dyDescent="0.35">
      <c r="A131" s="149"/>
      <c r="B131" s="149"/>
      <c r="C131" s="149"/>
      <c r="D131" s="149"/>
      <c r="E131" s="149"/>
      <c r="F131" s="151"/>
      <c r="G131" s="149"/>
      <c r="H131" s="149"/>
      <c r="I131" s="94"/>
    </row>
    <row r="132" spans="1:9" ht="18" x14ac:dyDescent="0.35">
      <c r="A132" s="149"/>
      <c r="B132" s="149"/>
      <c r="C132" s="149"/>
      <c r="D132" s="149"/>
      <c r="E132" s="149"/>
      <c r="F132" s="151"/>
      <c r="G132" s="149"/>
      <c r="H132" s="149"/>
      <c r="I132" s="94"/>
    </row>
    <row r="133" spans="1:9" ht="18" x14ac:dyDescent="0.35">
      <c r="A133" s="149"/>
      <c r="B133" s="149"/>
      <c r="C133" s="149"/>
      <c r="D133" s="149"/>
      <c r="E133" s="149"/>
      <c r="F133" s="151"/>
      <c r="G133" s="149"/>
      <c r="H133" s="149"/>
      <c r="I133" s="94"/>
    </row>
    <row r="250" spans="1:1" x14ac:dyDescent="0.3">
      <c r="A250" s="49">
        <v>5</v>
      </c>
    </row>
  </sheetData>
  <sheetProtection formatColumns="0" formatRows="0" insertColumns="0" insertHyperlinks="0" deleteColumns="0" deleteRows="0" autoFilter="0" pivotTables="0"/>
  <mergeCells count="35">
    <mergeCell ref="C32:H32"/>
    <mergeCell ref="A1:I7"/>
    <mergeCell ref="A8:I14"/>
    <mergeCell ref="A16:H16"/>
    <mergeCell ref="A17:H17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86" zoomScale="70" zoomScaleNormal="70" zoomScalePageLayoutView="55" workbookViewId="0">
      <selection activeCell="J70" sqref="J70"/>
    </sheetView>
  </sheetViews>
  <sheetFormatPr defaultColWidth="9.109375" defaultRowHeight="13.8" x14ac:dyDescent="0.3"/>
  <cols>
    <col min="1" max="1" width="55.44140625" style="253" customWidth="1"/>
    <col min="2" max="2" width="33.6640625" style="253" customWidth="1"/>
    <col min="3" max="3" width="42.33203125" style="253" customWidth="1"/>
    <col min="4" max="4" width="30.5546875" style="253" customWidth="1"/>
    <col min="5" max="5" width="39.88671875" style="253" customWidth="1"/>
    <col min="6" max="6" width="30.6640625" style="253" customWidth="1"/>
    <col min="7" max="7" width="39.88671875" style="253" customWidth="1"/>
    <col min="8" max="8" width="30" style="253" customWidth="1"/>
    <col min="9" max="9" width="30.33203125" style="253" hidden="1" customWidth="1"/>
    <col min="10" max="10" width="30.44140625" style="253" customWidth="1"/>
    <col min="11" max="11" width="21.33203125" style="253" customWidth="1"/>
    <col min="12" max="12" width="9.109375" style="253"/>
    <col min="13" max="16384" width="9.109375" style="255"/>
  </cols>
  <sheetData>
    <row r="1" spans="1:9" ht="18.75" customHeight="1" x14ac:dyDescent="0.3">
      <c r="A1" s="662" t="s">
        <v>45</v>
      </c>
      <c r="B1" s="662"/>
      <c r="C1" s="662"/>
      <c r="D1" s="662"/>
      <c r="E1" s="662"/>
      <c r="F1" s="662"/>
      <c r="G1" s="662"/>
      <c r="H1" s="662"/>
      <c r="I1" s="662"/>
    </row>
    <row r="2" spans="1:9" ht="18.75" customHeight="1" x14ac:dyDescent="0.3">
      <c r="A2" s="662"/>
      <c r="B2" s="662"/>
      <c r="C2" s="662"/>
      <c r="D2" s="662"/>
      <c r="E2" s="662"/>
      <c r="F2" s="662"/>
      <c r="G2" s="662"/>
      <c r="H2" s="662"/>
      <c r="I2" s="662"/>
    </row>
    <row r="3" spans="1:9" ht="18.75" customHeight="1" x14ac:dyDescent="0.3">
      <c r="A3" s="662"/>
      <c r="B3" s="662"/>
      <c r="C3" s="662"/>
      <c r="D3" s="662"/>
      <c r="E3" s="662"/>
      <c r="F3" s="662"/>
      <c r="G3" s="662"/>
      <c r="H3" s="662"/>
      <c r="I3" s="662"/>
    </row>
    <row r="4" spans="1:9" ht="18.75" customHeight="1" x14ac:dyDescent="0.3">
      <c r="A4" s="662"/>
      <c r="B4" s="662"/>
      <c r="C4" s="662"/>
      <c r="D4" s="662"/>
      <c r="E4" s="662"/>
      <c r="F4" s="662"/>
      <c r="G4" s="662"/>
      <c r="H4" s="662"/>
      <c r="I4" s="662"/>
    </row>
    <row r="5" spans="1:9" ht="18.75" customHeight="1" x14ac:dyDescent="0.3">
      <c r="A5" s="662"/>
      <c r="B5" s="662"/>
      <c r="C5" s="662"/>
      <c r="D5" s="662"/>
      <c r="E5" s="662"/>
      <c r="F5" s="662"/>
      <c r="G5" s="662"/>
      <c r="H5" s="662"/>
      <c r="I5" s="662"/>
    </row>
    <row r="6" spans="1:9" ht="18.75" customHeight="1" x14ac:dyDescent="0.3">
      <c r="A6" s="662"/>
      <c r="B6" s="662"/>
      <c r="C6" s="662"/>
      <c r="D6" s="662"/>
      <c r="E6" s="662"/>
      <c r="F6" s="662"/>
      <c r="G6" s="662"/>
      <c r="H6" s="662"/>
      <c r="I6" s="662"/>
    </row>
    <row r="7" spans="1:9" ht="18.75" customHeight="1" x14ac:dyDescent="0.3">
      <c r="A7" s="662"/>
      <c r="B7" s="662"/>
      <c r="C7" s="662"/>
      <c r="D7" s="662"/>
      <c r="E7" s="662"/>
      <c r="F7" s="662"/>
      <c r="G7" s="662"/>
      <c r="H7" s="662"/>
      <c r="I7" s="662"/>
    </row>
    <row r="8" spans="1:9" x14ac:dyDescent="0.3">
      <c r="A8" s="663" t="s">
        <v>46</v>
      </c>
      <c r="B8" s="663"/>
      <c r="C8" s="663"/>
      <c r="D8" s="663"/>
      <c r="E8" s="663"/>
      <c r="F8" s="663"/>
      <c r="G8" s="663"/>
      <c r="H8" s="663"/>
      <c r="I8" s="663"/>
    </row>
    <row r="9" spans="1:9" x14ac:dyDescent="0.3">
      <c r="A9" s="663"/>
      <c r="B9" s="663"/>
      <c r="C9" s="663"/>
      <c r="D9" s="663"/>
      <c r="E9" s="663"/>
      <c r="F9" s="663"/>
      <c r="G9" s="663"/>
      <c r="H9" s="663"/>
      <c r="I9" s="663"/>
    </row>
    <row r="10" spans="1:9" x14ac:dyDescent="0.3">
      <c r="A10" s="663"/>
      <c r="B10" s="663"/>
      <c r="C10" s="663"/>
      <c r="D10" s="663"/>
      <c r="E10" s="663"/>
      <c r="F10" s="663"/>
      <c r="G10" s="663"/>
      <c r="H10" s="663"/>
      <c r="I10" s="663"/>
    </row>
    <row r="11" spans="1:9" x14ac:dyDescent="0.3">
      <c r="A11" s="663"/>
      <c r="B11" s="663"/>
      <c r="C11" s="663"/>
      <c r="D11" s="663"/>
      <c r="E11" s="663"/>
      <c r="F11" s="663"/>
      <c r="G11" s="663"/>
      <c r="H11" s="663"/>
      <c r="I11" s="663"/>
    </row>
    <row r="12" spans="1:9" x14ac:dyDescent="0.3">
      <c r="A12" s="663"/>
      <c r="B12" s="663"/>
      <c r="C12" s="663"/>
      <c r="D12" s="663"/>
      <c r="E12" s="663"/>
      <c r="F12" s="663"/>
      <c r="G12" s="663"/>
      <c r="H12" s="663"/>
      <c r="I12" s="663"/>
    </row>
    <row r="13" spans="1:9" x14ac:dyDescent="0.3">
      <c r="A13" s="663"/>
      <c r="B13" s="663"/>
      <c r="C13" s="663"/>
      <c r="D13" s="663"/>
      <c r="E13" s="663"/>
      <c r="F13" s="663"/>
      <c r="G13" s="663"/>
      <c r="H13" s="663"/>
      <c r="I13" s="663"/>
    </row>
    <row r="14" spans="1:9" x14ac:dyDescent="0.3">
      <c r="A14" s="663"/>
      <c r="B14" s="663"/>
      <c r="C14" s="663"/>
      <c r="D14" s="663"/>
      <c r="E14" s="663"/>
      <c r="F14" s="663"/>
      <c r="G14" s="663"/>
      <c r="H14" s="663"/>
      <c r="I14" s="663"/>
    </row>
    <row r="15" spans="1:9" ht="19.5" customHeight="1" thickBot="1" x14ac:dyDescent="0.4">
      <c r="A15" s="254"/>
    </row>
    <row r="16" spans="1:9" ht="19.5" customHeight="1" thickBot="1" x14ac:dyDescent="0.4">
      <c r="A16" s="664" t="s">
        <v>31</v>
      </c>
      <c r="B16" s="665"/>
      <c r="C16" s="665"/>
      <c r="D16" s="665"/>
      <c r="E16" s="665"/>
      <c r="F16" s="665"/>
      <c r="G16" s="665"/>
      <c r="H16" s="666"/>
    </row>
    <row r="17" spans="1:14" ht="20.25" customHeight="1" x14ac:dyDescent="0.3">
      <c r="A17" s="667" t="s">
        <v>47</v>
      </c>
      <c r="B17" s="667"/>
      <c r="C17" s="667"/>
      <c r="D17" s="667"/>
      <c r="E17" s="667"/>
      <c r="F17" s="667"/>
      <c r="G17" s="667"/>
      <c r="H17" s="667"/>
    </row>
    <row r="18" spans="1:14" ht="26.25" customHeight="1" x14ac:dyDescent="0.5">
      <c r="A18" s="256" t="s">
        <v>33</v>
      </c>
      <c r="B18" s="668" t="s">
        <v>125</v>
      </c>
      <c r="C18" s="668"/>
      <c r="D18" s="257"/>
      <c r="E18" s="258"/>
      <c r="F18" s="259"/>
      <c r="G18" s="259"/>
      <c r="H18" s="259"/>
    </row>
    <row r="19" spans="1:14" ht="26.25" customHeight="1" x14ac:dyDescent="0.5">
      <c r="A19" s="256" t="s">
        <v>34</v>
      </c>
      <c r="B19" s="260" t="s">
        <v>7</v>
      </c>
      <c r="C19" s="259">
        <v>29</v>
      </c>
      <c r="D19" s="259"/>
      <c r="E19" s="259"/>
      <c r="F19" s="259"/>
      <c r="G19" s="259"/>
      <c r="H19" s="259"/>
    </row>
    <row r="20" spans="1:14" ht="26.25" customHeight="1" x14ac:dyDescent="0.5">
      <c r="A20" s="256" t="s">
        <v>35</v>
      </c>
      <c r="B20" s="669" t="s">
        <v>126</v>
      </c>
      <c r="C20" s="669"/>
      <c r="D20" s="259"/>
      <c r="E20" s="259"/>
      <c r="F20" s="259"/>
      <c r="G20" s="259"/>
      <c r="H20" s="259"/>
    </row>
    <row r="21" spans="1:14" ht="26.25" customHeight="1" x14ac:dyDescent="0.5">
      <c r="A21" s="256" t="s">
        <v>36</v>
      </c>
      <c r="B21" s="669" t="s">
        <v>127</v>
      </c>
      <c r="C21" s="669"/>
      <c r="D21" s="669"/>
      <c r="E21" s="669"/>
      <c r="F21" s="669"/>
      <c r="G21" s="669"/>
      <c r="H21" s="669"/>
      <c r="I21" s="261"/>
    </row>
    <row r="22" spans="1:14" ht="26.25" customHeight="1" x14ac:dyDescent="0.5">
      <c r="A22" s="256" t="s">
        <v>37</v>
      </c>
      <c r="B22" s="101">
        <v>42531.493668981479</v>
      </c>
      <c r="C22" s="259"/>
      <c r="D22" s="259"/>
      <c r="E22" s="259"/>
      <c r="F22" s="259"/>
      <c r="G22" s="259"/>
      <c r="H22" s="259"/>
    </row>
    <row r="23" spans="1:14" ht="26.25" customHeight="1" x14ac:dyDescent="0.5">
      <c r="A23" s="256" t="s">
        <v>38</v>
      </c>
      <c r="B23" s="101">
        <v>42535.41033564815</v>
      </c>
      <c r="C23" s="259"/>
      <c r="D23" s="259"/>
      <c r="E23" s="259"/>
      <c r="F23" s="259"/>
      <c r="G23" s="259"/>
      <c r="H23" s="259"/>
    </row>
    <row r="24" spans="1:14" ht="18" x14ac:dyDescent="0.35">
      <c r="A24" s="256"/>
      <c r="B24" s="262"/>
    </row>
    <row r="25" spans="1:14" ht="18" x14ac:dyDescent="0.35">
      <c r="A25" s="263" t="s">
        <v>1</v>
      </c>
      <c r="B25" s="262"/>
    </row>
    <row r="26" spans="1:14" ht="26.25" customHeight="1" x14ac:dyDescent="0.45">
      <c r="A26" s="264" t="s">
        <v>4</v>
      </c>
      <c r="B26" s="668" t="s">
        <v>130</v>
      </c>
      <c r="C26" s="668"/>
    </row>
    <row r="27" spans="1:14" ht="26.25" customHeight="1" x14ac:dyDescent="0.5">
      <c r="A27" s="265" t="s">
        <v>48</v>
      </c>
      <c r="B27" s="670" t="s">
        <v>131</v>
      </c>
      <c r="C27" s="670"/>
    </row>
    <row r="28" spans="1:14" ht="27" customHeight="1" thickBot="1" x14ac:dyDescent="0.5">
      <c r="A28" s="265" t="s">
        <v>6</v>
      </c>
      <c r="B28" s="266">
        <v>99.5</v>
      </c>
    </row>
    <row r="29" spans="1:14" s="268" customFormat="1" ht="27" customHeight="1" thickBot="1" x14ac:dyDescent="0.55000000000000004">
      <c r="A29" s="265" t="s">
        <v>49</v>
      </c>
      <c r="B29" s="267">
        <v>0</v>
      </c>
      <c r="C29" s="651" t="s">
        <v>50</v>
      </c>
      <c r="D29" s="652"/>
      <c r="E29" s="652"/>
      <c r="F29" s="652"/>
      <c r="G29" s="653"/>
      <c r="I29" s="269"/>
      <c r="J29" s="269"/>
      <c r="K29" s="269"/>
      <c r="L29" s="269"/>
    </row>
    <row r="30" spans="1:14" s="268" customFormat="1" ht="19.5" customHeight="1" thickBot="1" x14ac:dyDescent="0.4">
      <c r="A30" s="265" t="s">
        <v>51</v>
      </c>
      <c r="B30" s="270">
        <f>B28-B29</f>
        <v>99.5</v>
      </c>
      <c r="C30" s="271"/>
      <c r="D30" s="271"/>
      <c r="E30" s="271"/>
      <c r="F30" s="271"/>
      <c r="G30" s="272"/>
      <c r="I30" s="269"/>
      <c r="J30" s="269"/>
      <c r="K30" s="269"/>
      <c r="L30" s="269"/>
    </row>
    <row r="31" spans="1:14" s="268" customFormat="1" ht="27" customHeight="1" thickBot="1" x14ac:dyDescent="0.5">
      <c r="A31" s="265" t="s">
        <v>52</v>
      </c>
      <c r="B31" s="273">
        <v>1</v>
      </c>
      <c r="C31" s="654" t="s">
        <v>53</v>
      </c>
      <c r="D31" s="655"/>
      <c r="E31" s="655"/>
      <c r="F31" s="655"/>
      <c r="G31" s="655"/>
      <c r="H31" s="656"/>
      <c r="I31" s="269"/>
      <c r="J31" s="269"/>
      <c r="K31" s="269"/>
      <c r="L31" s="269"/>
    </row>
    <row r="32" spans="1:14" s="268" customFormat="1" ht="27" customHeight="1" thickBot="1" x14ac:dyDescent="0.5">
      <c r="A32" s="265" t="s">
        <v>54</v>
      </c>
      <c r="B32" s="273">
        <v>1</v>
      </c>
      <c r="C32" s="654" t="s">
        <v>55</v>
      </c>
      <c r="D32" s="655"/>
      <c r="E32" s="655"/>
      <c r="F32" s="655"/>
      <c r="G32" s="655"/>
      <c r="H32" s="656"/>
      <c r="I32" s="269"/>
      <c r="J32" s="269"/>
      <c r="K32" s="269"/>
      <c r="L32" s="274"/>
      <c r="M32" s="274"/>
      <c r="N32" s="275"/>
    </row>
    <row r="33" spans="1:14" s="268" customFormat="1" ht="17.25" customHeight="1" x14ac:dyDescent="0.35">
      <c r="A33" s="265"/>
      <c r="B33" s="276"/>
      <c r="C33" s="277"/>
      <c r="D33" s="277"/>
      <c r="E33" s="277"/>
      <c r="F33" s="277"/>
      <c r="G33" s="277"/>
      <c r="H33" s="277"/>
      <c r="I33" s="269"/>
      <c r="J33" s="269"/>
      <c r="K33" s="269"/>
      <c r="L33" s="274"/>
      <c r="M33" s="274"/>
      <c r="N33" s="275"/>
    </row>
    <row r="34" spans="1:14" s="268" customFormat="1" ht="18" x14ac:dyDescent="0.35">
      <c r="A34" s="265" t="s">
        <v>56</v>
      </c>
      <c r="B34" s="278">
        <f>B31/B32</f>
        <v>1</v>
      </c>
      <c r="C34" s="254" t="s">
        <v>57</v>
      </c>
      <c r="D34" s="254"/>
      <c r="E34" s="254"/>
      <c r="F34" s="254"/>
      <c r="G34" s="254"/>
      <c r="I34" s="269"/>
      <c r="J34" s="269"/>
      <c r="K34" s="269"/>
      <c r="L34" s="274"/>
      <c r="M34" s="274"/>
      <c r="N34" s="275"/>
    </row>
    <row r="35" spans="1:14" s="268" customFormat="1" ht="19.5" customHeight="1" thickBot="1" x14ac:dyDescent="0.4">
      <c r="A35" s="265"/>
      <c r="B35" s="270"/>
      <c r="G35" s="254"/>
      <c r="I35" s="269"/>
      <c r="J35" s="269"/>
      <c r="K35" s="269"/>
      <c r="L35" s="274"/>
      <c r="M35" s="274"/>
      <c r="N35" s="275"/>
    </row>
    <row r="36" spans="1:14" s="268" customFormat="1" ht="27" customHeight="1" thickBot="1" x14ac:dyDescent="0.5">
      <c r="A36" s="279" t="s">
        <v>58</v>
      </c>
      <c r="B36" s="280">
        <v>100</v>
      </c>
      <c r="C36" s="254"/>
      <c r="D36" s="641" t="s">
        <v>59</v>
      </c>
      <c r="E36" s="661"/>
      <c r="F36" s="641" t="s">
        <v>60</v>
      </c>
      <c r="G36" s="642"/>
      <c r="J36" s="269"/>
      <c r="K36" s="269"/>
      <c r="L36" s="274"/>
      <c r="M36" s="274"/>
      <c r="N36" s="275"/>
    </row>
    <row r="37" spans="1:14" s="268" customFormat="1" ht="27" customHeight="1" thickBot="1" x14ac:dyDescent="0.5">
      <c r="A37" s="281" t="s">
        <v>61</v>
      </c>
      <c r="B37" s="282">
        <v>1</v>
      </c>
      <c r="C37" s="283" t="s">
        <v>62</v>
      </c>
      <c r="D37" s="284" t="s">
        <v>63</v>
      </c>
      <c r="E37" s="285" t="s">
        <v>64</v>
      </c>
      <c r="F37" s="284" t="s">
        <v>63</v>
      </c>
      <c r="G37" s="286" t="s">
        <v>64</v>
      </c>
      <c r="I37" s="287" t="s">
        <v>65</v>
      </c>
      <c r="J37" s="269"/>
      <c r="K37" s="269"/>
      <c r="L37" s="274"/>
      <c r="M37" s="274"/>
      <c r="N37" s="275"/>
    </row>
    <row r="38" spans="1:14" s="268" customFormat="1" ht="26.25" customHeight="1" x14ac:dyDescent="0.45">
      <c r="A38" s="281" t="s">
        <v>66</v>
      </c>
      <c r="B38" s="282">
        <v>1</v>
      </c>
      <c r="C38" s="288">
        <v>1</v>
      </c>
      <c r="D38" s="289">
        <v>21674317</v>
      </c>
      <c r="E38" s="290">
        <f>IF(ISBLANK(D38),"-",$D$48/$D$45*D38)</f>
        <v>20146342.812327534</v>
      </c>
      <c r="F38" s="289">
        <v>20681768</v>
      </c>
      <c r="G38" s="291">
        <f>IF(ISBLANK(F38),"-",$D$48/$F$45*F38)</f>
        <v>20126551.907443289</v>
      </c>
      <c r="I38" s="292"/>
      <c r="J38" s="269"/>
      <c r="K38" s="269"/>
      <c r="L38" s="274"/>
      <c r="M38" s="274"/>
      <c r="N38" s="275"/>
    </row>
    <row r="39" spans="1:14" s="268" customFormat="1" ht="26.25" customHeight="1" x14ac:dyDescent="0.45">
      <c r="A39" s="281" t="s">
        <v>67</v>
      </c>
      <c r="B39" s="282">
        <v>1</v>
      </c>
      <c r="C39" s="293">
        <v>2</v>
      </c>
      <c r="D39" s="294">
        <v>21665103</v>
      </c>
      <c r="E39" s="295">
        <f>IF(ISBLANK(D39),"-",$D$48/$D$45*D39)</f>
        <v>20137778.371626921</v>
      </c>
      <c r="F39" s="294">
        <v>20681755</v>
      </c>
      <c r="G39" s="296">
        <f>IF(ISBLANK(F39),"-",$D$48/$F$45*F39)</f>
        <v>20126539.256437108</v>
      </c>
      <c r="I39" s="632">
        <f>ABS((F43/D43*D42)-F42)/D42</f>
        <v>6.2513027198285713E-4</v>
      </c>
      <c r="J39" s="269"/>
      <c r="K39" s="269"/>
      <c r="L39" s="274"/>
      <c r="M39" s="274"/>
      <c r="N39" s="275"/>
    </row>
    <row r="40" spans="1:14" ht="26.25" customHeight="1" x14ac:dyDescent="0.45">
      <c r="A40" s="281" t="s">
        <v>68</v>
      </c>
      <c r="B40" s="282">
        <v>1</v>
      </c>
      <c r="C40" s="293">
        <v>3</v>
      </c>
      <c r="D40" s="294">
        <v>21653799</v>
      </c>
      <c r="E40" s="295">
        <f>IF(ISBLANK(D40),"-",$D$48/$D$45*D40)</f>
        <v>20127271.269643012</v>
      </c>
      <c r="F40" s="294">
        <v>20673764</v>
      </c>
      <c r="G40" s="296">
        <f>IF(ISBLANK(F40),"-",$D$48/$F$45*F40)</f>
        <v>20118762.780253235</v>
      </c>
      <c r="I40" s="632"/>
      <c r="L40" s="274"/>
      <c r="M40" s="274"/>
      <c r="N40" s="254"/>
    </row>
    <row r="41" spans="1:14" ht="27" customHeight="1" thickBot="1" x14ac:dyDescent="0.5">
      <c r="A41" s="281" t="s">
        <v>69</v>
      </c>
      <c r="B41" s="282">
        <v>1</v>
      </c>
      <c r="C41" s="297">
        <v>4</v>
      </c>
      <c r="D41" s="298"/>
      <c r="E41" s="299" t="str">
        <f>IF(ISBLANK(D41),"-",$D$48/$D$45*D41)</f>
        <v>-</v>
      </c>
      <c r="F41" s="298"/>
      <c r="G41" s="300" t="str">
        <f>IF(ISBLANK(F41),"-",$D$48/$F$45*F41)</f>
        <v>-</v>
      </c>
      <c r="I41" s="301"/>
      <c r="L41" s="274"/>
      <c r="M41" s="274"/>
      <c r="N41" s="254"/>
    </row>
    <row r="42" spans="1:14" ht="27" customHeight="1" thickBot="1" x14ac:dyDescent="0.5">
      <c r="A42" s="281" t="s">
        <v>70</v>
      </c>
      <c r="B42" s="282">
        <v>1</v>
      </c>
      <c r="C42" s="302" t="s">
        <v>71</v>
      </c>
      <c r="D42" s="303">
        <f>AVERAGE(D38:D41)</f>
        <v>21664406.333333332</v>
      </c>
      <c r="E42" s="304">
        <f>AVERAGE(E38:E41)</f>
        <v>20137130.817865822</v>
      </c>
      <c r="F42" s="303">
        <f>AVERAGE(F38:F41)</f>
        <v>20679095.666666668</v>
      </c>
      <c r="G42" s="305">
        <f>AVERAGE(G38:G41)</f>
        <v>20123951.314711209</v>
      </c>
      <c r="H42" s="306"/>
    </row>
    <row r="43" spans="1:14" ht="26.25" customHeight="1" x14ac:dyDescent="0.45">
      <c r="A43" s="281" t="s">
        <v>72</v>
      </c>
      <c r="B43" s="282">
        <v>1</v>
      </c>
      <c r="C43" s="307" t="s">
        <v>73</v>
      </c>
      <c r="D43" s="308">
        <v>43.25</v>
      </c>
      <c r="E43" s="254"/>
      <c r="F43" s="308">
        <v>41.31</v>
      </c>
      <c r="H43" s="306"/>
    </row>
    <row r="44" spans="1:14" ht="26.25" customHeight="1" x14ac:dyDescent="0.45">
      <c r="A44" s="281" t="s">
        <v>74</v>
      </c>
      <c r="B44" s="282">
        <v>1</v>
      </c>
      <c r="C44" s="309" t="s">
        <v>75</v>
      </c>
      <c r="D44" s="310">
        <f>D43*$B$34</f>
        <v>43.25</v>
      </c>
      <c r="E44" s="311"/>
      <c r="F44" s="310">
        <f>F43*$B$34</f>
        <v>41.31</v>
      </c>
      <c r="H44" s="306"/>
    </row>
    <row r="45" spans="1:14" ht="19.5" customHeight="1" thickBot="1" x14ac:dyDescent="0.4">
      <c r="A45" s="281" t="s">
        <v>76</v>
      </c>
      <c r="B45" s="293">
        <f>(B44/B43)*(B42/B41)*(B40/B39)*(B38/B37)*B36</f>
        <v>100</v>
      </c>
      <c r="C45" s="309" t="s">
        <v>77</v>
      </c>
      <c r="D45" s="312">
        <f>D44*$B$30/100</f>
        <v>43.033749999999998</v>
      </c>
      <c r="E45" s="313"/>
      <c r="F45" s="312">
        <f>F44*$B$30/100</f>
        <v>41.103450000000002</v>
      </c>
      <c r="H45" s="306"/>
    </row>
    <row r="46" spans="1:14" ht="19.5" customHeight="1" thickBot="1" x14ac:dyDescent="0.4">
      <c r="A46" s="633" t="s">
        <v>78</v>
      </c>
      <c r="B46" s="637"/>
      <c r="C46" s="309" t="s">
        <v>79</v>
      </c>
      <c r="D46" s="314">
        <f>D45/$B$45</f>
        <v>0.43033749999999998</v>
      </c>
      <c r="E46" s="315"/>
      <c r="F46" s="316">
        <f>F45/$B$45</f>
        <v>0.41103450000000002</v>
      </c>
      <c r="H46" s="306"/>
    </row>
    <row r="47" spans="1:14" ht="27" customHeight="1" thickBot="1" x14ac:dyDescent="0.5">
      <c r="A47" s="635"/>
      <c r="B47" s="638"/>
      <c r="C47" s="317" t="s">
        <v>80</v>
      </c>
      <c r="D47" s="318">
        <v>0.4</v>
      </c>
      <c r="E47" s="319"/>
      <c r="F47" s="315"/>
      <c r="H47" s="306"/>
    </row>
    <row r="48" spans="1:14" ht="18" x14ac:dyDescent="0.35">
      <c r="C48" s="320" t="s">
        <v>81</v>
      </c>
      <c r="D48" s="312">
        <f>D47*$B$45</f>
        <v>40</v>
      </c>
      <c r="F48" s="321"/>
      <c r="H48" s="306"/>
    </row>
    <row r="49" spans="1:12" ht="19.5" customHeight="1" thickBot="1" x14ac:dyDescent="0.4">
      <c r="C49" s="322" t="s">
        <v>82</v>
      </c>
      <c r="D49" s="323">
        <f>D48/B34</f>
        <v>40</v>
      </c>
      <c r="F49" s="321"/>
      <c r="H49" s="306"/>
    </row>
    <row r="50" spans="1:12" ht="18" x14ac:dyDescent="0.35">
      <c r="C50" s="279" t="s">
        <v>83</v>
      </c>
      <c r="D50" s="324">
        <f>AVERAGE(E38:E41,G38:G41)</f>
        <v>20130541.066288516</v>
      </c>
      <c r="F50" s="325"/>
      <c r="H50" s="306"/>
    </row>
    <row r="51" spans="1:12" ht="18" x14ac:dyDescent="0.35">
      <c r="C51" s="281" t="s">
        <v>84</v>
      </c>
      <c r="D51" s="326">
        <f>STDEV(E38:E41,G38:G41)/D50</f>
        <v>4.8845258111315933E-4</v>
      </c>
      <c r="F51" s="325"/>
      <c r="H51" s="306"/>
    </row>
    <row r="52" spans="1:12" ht="19.5" customHeight="1" thickBot="1" x14ac:dyDescent="0.4">
      <c r="C52" s="327" t="s">
        <v>20</v>
      </c>
      <c r="D52" s="328">
        <f>COUNT(E38:E41,G38:G41)</f>
        <v>6</v>
      </c>
      <c r="F52" s="325"/>
    </row>
    <row r="54" spans="1:12" ht="18" x14ac:dyDescent="0.35">
      <c r="A54" s="329" t="s">
        <v>1</v>
      </c>
      <c r="B54" s="330" t="s">
        <v>85</v>
      </c>
    </row>
    <row r="55" spans="1:12" ht="18" x14ac:dyDescent="0.35">
      <c r="A55" s="254" t="s">
        <v>86</v>
      </c>
      <c r="B55" s="331" t="str">
        <f>B21</f>
        <v xml:space="preserve">Rifampicin 60mg, Isoniazid 30mg, Pyrazinamide 150mg 
</v>
      </c>
    </row>
    <row r="56" spans="1:12" ht="26.25" customHeight="1" x14ac:dyDescent="0.45">
      <c r="A56" s="331" t="s">
        <v>87</v>
      </c>
      <c r="B56" s="332">
        <v>150</v>
      </c>
      <c r="C56" s="254" t="str">
        <f>B26</f>
        <v>Pyrazinamide</v>
      </c>
      <c r="H56" s="311"/>
    </row>
    <row r="57" spans="1:12" ht="18" x14ac:dyDescent="0.35">
      <c r="A57" s="331" t="s">
        <v>88</v>
      </c>
      <c r="B57" s="333">
        <f>Uniformity!C46</f>
        <v>301.16300000000001</v>
      </c>
      <c r="H57" s="311"/>
    </row>
    <row r="58" spans="1:12" ht="19.5" customHeight="1" thickBot="1" x14ac:dyDescent="0.4">
      <c r="H58" s="311"/>
    </row>
    <row r="59" spans="1:12" s="268" customFormat="1" ht="27" customHeight="1" thickBot="1" x14ac:dyDescent="0.5">
      <c r="A59" s="279" t="s">
        <v>89</v>
      </c>
      <c r="B59" s="280">
        <v>100</v>
      </c>
      <c r="C59" s="254"/>
      <c r="D59" s="334" t="s">
        <v>90</v>
      </c>
      <c r="E59" s="335" t="s">
        <v>62</v>
      </c>
      <c r="F59" s="335" t="s">
        <v>63</v>
      </c>
      <c r="G59" s="335" t="s">
        <v>91</v>
      </c>
      <c r="H59" s="283" t="s">
        <v>92</v>
      </c>
      <c r="L59" s="269"/>
    </row>
    <row r="60" spans="1:12" s="268" customFormat="1" ht="26.25" customHeight="1" x14ac:dyDescent="0.45">
      <c r="A60" s="281" t="s">
        <v>93</v>
      </c>
      <c r="B60" s="282">
        <v>1</v>
      </c>
      <c r="C60" s="643" t="s">
        <v>94</v>
      </c>
      <c r="D60" s="646">
        <v>79.3</v>
      </c>
      <c r="E60" s="336">
        <v>1</v>
      </c>
      <c r="F60" s="337">
        <v>20055454</v>
      </c>
      <c r="G60" s="338">
        <f>IF(ISBLANK(F60),"-",(F60/$D$50*$D$47*$B$68)*($B$57/$D$60))</f>
        <v>151.34409069063366</v>
      </c>
      <c r="H60" s="339">
        <f t="shared" ref="H60:H71" si="0">IF(ISBLANK(F60),"-",G60/$B$56)</f>
        <v>1.0089606046042243</v>
      </c>
      <c r="L60" s="269"/>
    </row>
    <row r="61" spans="1:12" s="268" customFormat="1" ht="26.25" customHeight="1" x14ac:dyDescent="0.45">
      <c r="A61" s="281" t="s">
        <v>95</v>
      </c>
      <c r="B61" s="282">
        <v>1</v>
      </c>
      <c r="C61" s="644"/>
      <c r="D61" s="647"/>
      <c r="E61" s="340">
        <v>2</v>
      </c>
      <c r="F61" s="294">
        <v>20054162</v>
      </c>
      <c r="G61" s="341">
        <f>IF(ISBLANK(F61),"-",(F61/$D$50*$D$47*$B$68)*($B$57/$D$60))</f>
        <v>151.33434089563164</v>
      </c>
      <c r="H61" s="342">
        <f t="shared" si="0"/>
        <v>1.0088956059708776</v>
      </c>
      <c r="L61" s="269"/>
    </row>
    <row r="62" spans="1:12" s="268" customFormat="1" ht="26.25" customHeight="1" x14ac:dyDescent="0.45">
      <c r="A62" s="281" t="s">
        <v>96</v>
      </c>
      <c r="B62" s="282">
        <v>1</v>
      </c>
      <c r="C62" s="644"/>
      <c r="D62" s="647"/>
      <c r="E62" s="340">
        <v>3</v>
      </c>
      <c r="F62" s="343">
        <v>20040704</v>
      </c>
      <c r="G62" s="341">
        <f>IF(ISBLANK(F62),"-",(F62/$D$50*$D$47*$B$68)*($B$57/$D$60))</f>
        <v>151.23278304645436</v>
      </c>
      <c r="H62" s="342">
        <f t="shared" si="0"/>
        <v>1.008218553643029</v>
      </c>
      <c r="L62" s="269"/>
    </row>
    <row r="63" spans="1:12" ht="27" customHeight="1" thickBot="1" x14ac:dyDescent="0.5">
      <c r="A63" s="281" t="s">
        <v>97</v>
      </c>
      <c r="B63" s="282">
        <v>1</v>
      </c>
      <c r="C63" s="645"/>
      <c r="D63" s="648"/>
      <c r="E63" s="344">
        <v>4</v>
      </c>
      <c r="F63" s="345"/>
      <c r="G63" s="341" t="str">
        <f>IF(ISBLANK(F63),"-",(F63/$D$50*$D$47*$B$68)*($B$57/$D$60))</f>
        <v>-</v>
      </c>
      <c r="H63" s="342" t="str">
        <f t="shared" si="0"/>
        <v>-</v>
      </c>
    </row>
    <row r="64" spans="1:12" ht="26.25" customHeight="1" x14ac:dyDescent="0.45">
      <c r="A64" s="281" t="s">
        <v>98</v>
      </c>
      <c r="B64" s="282">
        <v>1</v>
      </c>
      <c r="C64" s="643" t="s">
        <v>99</v>
      </c>
      <c r="D64" s="646">
        <v>83.85</v>
      </c>
      <c r="E64" s="336">
        <v>1</v>
      </c>
      <c r="F64" s="337"/>
      <c r="G64" s="346" t="str">
        <f>IF(ISBLANK(F64),"-",(F64/$D$50*$D$47*$B$68)*($B$57/$D$64))</f>
        <v>-</v>
      </c>
      <c r="H64" s="347" t="str">
        <f t="shared" si="0"/>
        <v>-</v>
      </c>
    </row>
    <row r="65" spans="1:8" ht="26.25" customHeight="1" x14ac:dyDescent="0.45">
      <c r="A65" s="281" t="s">
        <v>100</v>
      </c>
      <c r="B65" s="282">
        <v>1</v>
      </c>
      <c r="C65" s="644"/>
      <c r="D65" s="647"/>
      <c r="E65" s="340">
        <v>2</v>
      </c>
      <c r="F65" s="294"/>
      <c r="G65" s="348" t="str">
        <f>IF(ISBLANK(F65),"-",(F65/$D$50*$D$47*$B$68)*($B$57/$D$64))</f>
        <v>-</v>
      </c>
      <c r="H65" s="349" t="str">
        <f t="shared" si="0"/>
        <v>-</v>
      </c>
    </row>
    <row r="66" spans="1:8" ht="26.25" customHeight="1" x14ac:dyDescent="0.45">
      <c r="A66" s="281" t="s">
        <v>101</v>
      </c>
      <c r="B66" s="282">
        <v>1</v>
      </c>
      <c r="C66" s="644"/>
      <c r="D66" s="647"/>
      <c r="E66" s="340">
        <v>3</v>
      </c>
      <c r="F66" s="294"/>
      <c r="G66" s="348" t="str">
        <f>IF(ISBLANK(F66),"-",(F66/$D$50*$D$47*$B$68)*($B$57/$D$64))</f>
        <v>-</v>
      </c>
      <c r="H66" s="349" t="str">
        <f t="shared" si="0"/>
        <v>-</v>
      </c>
    </row>
    <row r="67" spans="1:8" ht="27" customHeight="1" thickBot="1" x14ac:dyDescent="0.5">
      <c r="A67" s="281" t="s">
        <v>102</v>
      </c>
      <c r="B67" s="282">
        <v>1</v>
      </c>
      <c r="C67" s="645"/>
      <c r="D67" s="648"/>
      <c r="E67" s="344">
        <v>4</v>
      </c>
      <c r="F67" s="345"/>
      <c r="G67" s="350" t="str">
        <f>IF(ISBLANK(F67),"-",(F67/$D$50*$D$47*$B$68)*($B$57/$D$64))</f>
        <v>-</v>
      </c>
      <c r="H67" s="351" t="str">
        <f t="shared" si="0"/>
        <v>-</v>
      </c>
    </row>
    <row r="68" spans="1:8" ht="26.25" customHeight="1" x14ac:dyDescent="0.5">
      <c r="A68" s="281" t="s">
        <v>103</v>
      </c>
      <c r="B68" s="352">
        <f>(B67/B66)*(B65/B64)*(B63/B62)*(B61/B60)*B59</f>
        <v>100</v>
      </c>
      <c r="C68" s="643" t="s">
        <v>104</v>
      </c>
      <c r="D68" s="646">
        <v>82.16</v>
      </c>
      <c r="E68" s="336">
        <v>1</v>
      </c>
      <c r="F68" s="337">
        <v>21012160</v>
      </c>
      <c r="G68" s="346">
        <f>IF(ISBLANK(F68),"-",(F68/$D$50*$D$47*$B$68)*($B$57/$D$68))</f>
        <v>153.04404178487817</v>
      </c>
      <c r="H68" s="342">
        <f t="shared" si="0"/>
        <v>1.0202936118991879</v>
      </c>
    </row>
    <row r="69" spans="1:8" ht="27" customHeight="1" thickBot="1" x14ac:dyDescent="0.55000000000000004">
      <c r="A69" s="327" t="s">
        <v>105</v>
      </c>
      <c r="B69" s="353">
        <f>(D47*B68)/B56*B57</f>
        <v>80.31013333333334</v>
      </c>
      <c r="C69" s="644"/>
      <c r="D69" s="647"/>
      <c r="E69" s="340">
        <v>2</v>
      </c>
      <c r="F69" s="294">
        <v>20985573</v>
      </c>
      <c r="G69" s="348">
        <f>IF(ISBLANK(F69),"-",(F69/$D$50*$D$47*$B$68)*($B$57/$D$68))</f>
        <v>152.85039287210887</v>
      </c>
      <c r="H69" s="342">
        <f t="shared" si="0"/>
        <v>1.0190026191473924</v>
      </c>
    </row>
    <row r="70" spans="1:8" ht="26.25" customHeight="1" x14ac:dyDescent="0.45">
      <c r="A70" s="657" t="s">
        <v>78</v>
      </c>
      <c r="B70" s="658"/>
      <c r="C70" s="644"/>
      <c r="D70" s="647"/>
      <c r="E70" s="340">
        <v>3</v>
      </c>
      <c r="F70" s="294">
        <v>20972084</v>
      </c>
      <c r="G70" s="348">
        <f>IF(ISBLANK(F70),"-",(F70/$D$50*$D$47*$B$68)*($B$57/$D$68))</f>
        <v>152.75214447310393</v>
      </c>
      <c r="H70" s="342">
        <f t="shared" si="0"/>
        <v>1.0183476298206928</v>
      </c>
    </row>
    <row r="71" spans="1:8" ht="27" customHeight="1" thickBot="1" x14ac:dyDescent="0.5">
      <c r="A71" s="659"/>
      <c r="B71" s="660"/>
      <c r="C71" s="649"/>
      <c r="D71" s="648"/>
      <c r="E71" s="344">
        <v>4</v>
      </c>
      <c r="F71" s="345"/>
      <c r="G71" s="350" t="str">
        <f>IF(ISBLANK(F71),"-",(F71/$D$50*$D$47*$B$68)*($B$57/$D$68))</f>
        <v>-</v>
      </c>
      <c r="H71" s="354" t="str">
        <f t="shared" si="0"/>
        <v>-</v>
      </c>
    </row>
    <row r="72" spans="1:8" ht="26.25" customHeight="1" x14ac:dyDescent="0.45">
      <c r="A72" s="311"/>
      <c r="B72" s="311"/>
      <c r="C72" s="311"/>
      <c r="D72" s="311"/>
      <c r="E72" s="311"/>
      <c r="F72" s="355" t="s">
        <v>71</v>
      </c>
      <c r="G72" s="356">
        <f>AVERAGE(G60:G71)</f>
        <v>152.0929656271351</v>
      </c>
      <c r="H72" s="357">
        <f>AVERAGE(H60:H71)</f>
        <v>1.0139531041809007</v>
      </c>
    </row>
    <row r="73" spans="1:8" ht="26.25" customHeight="1" x14ac:dyDescent="0.45">
      <c r="C73" s="311"/>
      <c r="D73" s="311"/>
      <c r="E73" s="311"/>
      <c r="F73" s="358" t="s">
        <v>84</v>
      </c>
      <c r="G73" s="359">
        <f>STDEV(G60:G71)/G72</f>
        <v>5.7235838553979746E-3</v>
      </c>
      <c r="H73" s="359">
        <f>STDEV(H60:H71)/H72</f>
        <v>5.723583855398005E-3</v>
      </c>
    </row>
    <row r="74" spans="1:8" ht="27" customHeight="1" thickBot="1" x14ac:dyDescent="0.5">
      <c r="A74" s="311"/>
      <c r="B74" s="311"/>
      <c r="C74" s="311"/>
      <c r="D74" s="311"/>
      <c r="E74" s="313"/>
      <c r="F74" s="360" t="s">
        <v>20</v>
      </c>
      <c r="G74" s="361">
        <f>COUNT(G60:G71)</f>
        <v>6</v>
      </c>
      <c r="H74" s="361">
        <f>COUNT(H60:H71)</f>
        <v>6</v>
      </c>
    </row>
    <row r="76" spans="1:8" ht="26.25" customHeight="1" x14ac:dyDescent="0.45">
      <c r="A76" s="264" t="s">
        <v>106</v>
      </c>
      <c r="B76" s="265" t="s">
        <v>107</v>
      </c>
      <c r="C76" s="639" t="str">
        <f>B20</f>
        <v xml:space="preserve">Rifampicin, Isoniazid, Pyrazinamide 
</v>
      </c>
      <c r="D76" s="639"/>
      <c r="E76" s="254" t="s">
        <v>108</v>
      </c>
      <c r="F76" s="254"/>
      <c r="G76" s="362">
        <f>H72</f>
        <v>1.0139531041809007</v>
      </c>
      <c r="H76" s="270"/>
    </row>
    <row r="77" spans="1:8" ht="18" x14ac:dyDescent="0.35">
      <c r="A77" s="263" t="s">
        <v>109</v>
      </c>
      <c r="B77" s="263" t="s">
        <v>110</v>
      </c>
    </row>
    <row r="78" spans="1:8" ht="18" x14ac:dyDescent="0.35">
      <c r="A78" s="263"/>
      <c r="B78" s="263"/>
    </row>
    <row r="79" spans="1:8" ht="26.25" customHeight="1" x14ac:dyDescent="0.45">
      <c r="A79" s="264" t="s">
        <v>4</v>
      </c>
      <c r="B79" s="650" t="str">
        <f>B26</f>
        <v>Pyrazinamide</v>
      </c>
      <c r="C79" s="650"/>
    </row>
    <row r="80" spans="1:8" ht="26.25" customHeight="1" x14ac:dyDescent="0.45">
      <c r="A80" s="265" t="s">
        <v>48</v>
      </c>
      <c r="B80" s="650" t="str">
        <f>B27</f>
        <v>P19-1</v>
      </c>
      <c r="C80" s="650"/>
    </row>
    <row r="81" spans="1:12" ht="27" customHeight="1" thickBot="1" x14ac:dyDescent="0.5">
      <c r="A81" s="265" t="s">
        <v>6</v>
      </c>
      <c r="B81" s="266">
        <f>B28</f>
        <v>99.5</v>
      </c>
    </row>
    <row r="82" spans="1:12" s="268" customFormat="1" ht="27" customHeight="1" thickBot="1" x14ac:dyDescent="0.55000000000000004">
      <c r="A82" s="265" t="s">
        <v>49</v>
      </c>
      <c r="B82" s="267">
        <v>0</v>
      </c>
      <c r="C82" s="651" t="s">
        <v>50</v>
      </c>
      <c r="D82" s="652"/>
      <c r="E82" s="652"/>
      <c r="F82" s="652"/>
      <c r="G82" s="653"/>
      <c r="I82" s="269"/>
      <c r="J82" s="269"/>
      <c r="K82" s="269"/>
      <c r="L82" s="269"/>
    </row>
    <row r="83" spans="1:12" s="268" customFormat="1" ht="19.5" customHeight="1" thickBot="1" x14ac:dyDescent="0.4">
      <c r="A83" s="265" t="s">
        <v>51</v>
      </c>
      <c r="B83" s="270">
        <f>B81-B82</f>
        <v>99.5</v>
      </c>
      <c r="C83" s="271"/>
      <c r="D83" s="271"/>
      <c r="E83" s="271"/>
      <c r="F83" s="271"/>
      <c r="G83" s="272"/>
      <c r="I83" s="269"/>
      <c r="J83" s="269"/>
      <c r="K83" s="269"/>
      <c r="L83" s="269"/>
    </row>
    <row r="84" spans="1:12" s="268" customFormat="1" ht="27" customHeight="1" thickBot="1" x14ac:dyDescent="0.5">
      <c r="A84" s="265" t="s">
        <v>52</v>
      </c>
      <c r="B84" s="273">
        <v>1</v>
      </c>
      <c r="C84" s="654" t="s">
        <v>111</v>
      </c>
      <c r="D84" s="655"/>
      <c r="E84" s="655"/>
      <c r="F84" s="655"/>
      <c r="G84" s="655"/>
      <c r="H84" s="656"/>
      <c r="I84" s="269"/>
      <c r="J84" s="269"/>
      <c r="K84" s="269"/>
      <c r="L84" s="269"/>
    </row>
    <row r="85" spans="1:12" s="268" customFormat="1" ht="27" customHeight="1" thickBot="1" x14ac:dyDescent="0.5">
      <c r="A85" s="265" t="s">
        <v>54</v>
      </c>
      <c r="B85" s="273">
        <v>1</v>
      </c>
      <c r="C85" s="654" t="s">
        <v>112</v>
      </c>
      <c r="D85" s="655"/>
      <c r="E85" s="655"/>
      <c r="F85" s="655"/>
      <c r="G85" s="655"/>
      <c r="H85" s="656"/>
      <c r="I85" s="269"/>
      <c r="J85" s="269"/>
      <c r="K85" s="269"/>
      <c r="L85" s="269"/>
    </row>
    <row r="86" spans="1:12" s="268" customFormat="1" ht="18" x14ac:dyDescent="0.35">
      <c r="A86" s="265"/>
      <c r="B86" s="276"/>
      <c r="C86" s="277"/>
      <c r="D86" s="277"/>
      <c r="E86" s="277"/>
      <c r="F86" s="277"/>
      <c r="G86" s="277"/>
      <c r="H86" s="277"/>
      <c r="I86" s="269"/>
      <c r="J86" s="269"/>
      <c r="K86" s="269"/>
      <c r="L86" s="269"/>
    </row>
    <row r="87" spans="1:12" s="268" customFormat="1" ht="18" x14ac:dyDescent="0.35">
      <c r="A87" s="265" t="s">
        <v>56</v>
      </c>
      <c r="B87" s="278">
        <f>B84/B85</f>
        <v>1</v>
      </c>
      <c r="C87" s="254" t="s">
        <v>57</v>
      </c>
      <c r="D87" s="254"/>
      <c r="E87" s="254"/>
      <c r="F87" s="254"/>
      <c r="G87" s="254"/>
      <c r="I87" s="269"/>
      <c r="J87" s="269"/>
      <c r="K87" s="269"/>
      <c r="L87" s="269"/>
    </row>
    <row r="88" spans="1:12" ht="19.5" customHeight="1" thickBot="1" x14ac:dyDescent="0.4">
      <c r="A88" s="263"/>
      <c r="B88" s="263"/>
    </row>
    <row r="89" spans="1:12" ht="27" customHeight="1" thickBot="1" x14ac:dyDescent="0.5">
      <c r="A89" s="279" t="s">
        <v>58</v>
      </c>
      <c r="B89" s="280">
        <v>100</v>
      </c>
      <c r="D89" s="363" t="s">
        <v>59</v>
      </c>
      <c r="E89" s="364"/>
      <c r="F89" s="641" t="s">
        <v>60</v>
      </c>
      <c r="G89" s="642"/>
    </row>
    <row r="90" spans="1:12" ht="27" customHeight="1" thickBot="1" x14ac:dyDescent="0.5">
      <c r="A90" s="281" t="s">
        <v>61</v>
      </c>
      <c r="B90" s="282">
        <v>10</v>
      </c>
      <c r="C90" s="365" t="s">
        <v>62</v>
      </c>
      <c r="D90" s="284" t="s">
        <v>63</v>
      </c>
      <c r="E90" s="285" t="s">
        <v>64</v>
      </c>
      <c r="F90" s="284" t="s">
        <v>63</v>
      </c>
      <c r="G90" s="366" t="s">
        <v>64</v>
      </c>
      <c r="I90" s="287" t="s">
        <v>65</v>
      </c>
    </row>
    <row r="91" spans="1:12" ht="26.25" customHeight="1" x14ac:dyDescent="0.45">
      <c r="A91" s="281" t="s">
        <v>66</v>
      </c>
      <c r="B91" s="282">
        <v>25</v>
      </c>
      <c r="C91" s="367">
        <v>1</v>
      </c>
      <c r="D91" s="289">
        <v>8746067</v>
      </c>
      <c r="E91" s="290">
        <f>IF(ISBLANK(D91),"-",$D$101/$D$98*D91)</f>
        <v>8468224.5524346214</v>
      </c>
      <c r="F91" s="289">
        <v>8335845</v>
      </c>
      <c r="G91" s="291">
        <f>IF(ISBLANK(F91),"-",$D$101/$F$98*F91)</f>
        <v>8450066.2353160121</v>
      </c>
      <c r="I91" s="292"/>
    </row>
    <row r="92" spans="1:12" ht="26.25" customHeight="1" x14ac:dyDescent="0.45">
      <c r="A92" s="281" t="s">
        <v>67</v>
      </c>
      <c r="B92" s="282">
        <v>1</v>
      </c>
      <c r="C92" s="311">
        <v>2</v>
      </c>
      <c r="D92" s="294">
        <v>8777847</v>
      </c>
      <c r="E92" s="295">
        <f>IF(ISBLANK(D92),"-",$D$101/$D$98*D92)</f>
        <v>8498994.9748743717</v>
      </c>
      <c r="F92" s="294">
        <v>8332573</v>
      </c>
      <c r="G92" s="296">
        <f>IF(ISBLANK(F92),"-",$D$101/$F$98*F92)</f>
        <v>8446749.4010032397</v>
      </c>
      <c r="I92" s="632">
        <f>ABS((F96/D96*D95)-F95)/D95</f>
        <v>2.121980535110703E-3</v>
      </c>
    </row>
    <row r="93" spans="1:12" ht="26.25" customHeight="1" x14ac:dyDescent="0.45">
      <c r="A93" s="281" t="s">
        <v>68</v>
      </c>
      <c r="B93" s="282">
        <v>1</v>
      </c>
      <c r="C93" s="311">
        <v>3</v>
      </c>
      <c r="D93" s="294">
        <v>8728414</v>
      </c>
      <c r="E93" s="295">
        <f>IF(ISBLANK(D93),"-",$D$101/$D$98*D93)</f>
        <v>8451132.3476728536</v>
      </c>
      <c r="F93" s="294">
        <v>8350642</v>
      </c>
      <c r="G93" s="296">
        <f>IF(ISBLANK(F93),"-",$D$101/$F$98*F93)</f>
        <v>8465065.9900000263</v>
      </c>
      <c r="I93" s="632"/>
    </row>
    <row r="94" spans="1:12" ht="27" customHeight="1" thickBot="1" x14ac:dyDescent="0.5">
      <c r="A94" s="281" t="s">
        <v>69</v>
      </c>
      <c r="B94" s="282">
        <v>1</v>
      </c>
      <c r="C94" s="368">
        <v>4</v>
      </c>
      <c r="D94" s="298"/>
      <c r="E94" s="299" t="str">
        <f>IF(ISBLANK(D94),"-",$D$101/$D$98*D94)</f>
        <v>-</v>
      </c>
      <c r="F94" s="369"/>
      <c r="G94" s="300" t="str">
        <f>IF(ISBLANK(F94),"-",$D$101/$F$98*F94)</f>
        <v>-</v>
      </c>
      <c r="I94" s="301"/>
    </row>
    <row r="95" spans="1:12" ht="27" customHeight="1" thickBot="1" x14ac:dyDescent="0.5">
      <c r="A95" s="281" t="s">
        <v>70</v>
      </c>
      <c r="B95" s="282">
        <v>1</v>
      </c>
      <c r="C95" s="265" t="s">
        <v>71</v>
      </c>
      <c r="D95" s="370">
        <f>AVERAGE(D91:D94)</f>
        <v>8750776</v>
      </c>
      <c r="E95" s="304">
        <f>AVERAGE(E91:E94)</f>
        <v>8472783.9583272822</v>
      </c>
      <c r="F95" s="371">
        <f>AVERAGE(F91:F94)</f>
        <v>8339686.666666667</v>
      </c>
      <c r="G95" s="372">
        <f>AVERAGE(G91:G94)</f>
        <v>8453960.5421064254</v>
      </c>
    </row>
    <row r="96" spans="1:12" ht="26.25" customHeight="1" x14ac:dyDescent="0.45">
      <c r="A96" s="281" t="s">
        <v>72</v>
      </c>
      <c r="B96" s="266">
        <v>1</v>
      </c>
      <c r="C96" s="373" t="s">
        <v>113</v>
      </c>
      <c r="D96" s="374">
        <v>43.25</v>
      </c>
      <c r="E96" s="254"/>
      <c r="F96" s="308">
        <v>41.31</v>
      </c>
    </row>
    <row r="97" spans="1:10" ht="26.25" customHeight="1" x14ac:dyDescent="0.45">
      <c r="A97" s="281" t="s">
        <v>74</v>
      </c>
      <c r="B97" s="266">
        <v>1</v>
      </c>
      <c r="C97" s="375" t="s">
        <v>114</v>
      </c>
      <c r="D97" s="376">
        <f>D96*$B$87</f>
        <v>43.25</v>
      </c>
      <c r="E97" s="311"/>
      <c r="F97" s="310">
        <f>F96*$B$87</f>
        <v>41.31</v>
      </c>
    </row>
    <row r="98" spans="1:10" ht="19.5" customHeight="1" thickBot="1" x14ac:dyDescent="0.4">
      <c r="A98" s="281" t="s">
        <v>76</v>
      </c>
      <c r="B98" s="311">
        <f>(B97/B96)*(B95/B94)*(B93/B92)*(B91/B90)*B89</f>
        <v>250</v>
      </c>
      <c r="C98" s="375" t="s">
        <v>115</v>
      </c>
      <c r="D98" s="377">
        <f>D97*$B$83/100</f>
        <v>43.033749999999998</v>
      </c>
      <c r="E98" s="313"/>
      <c r="F98" s="312">
        <f>F97*$B$83/100</f>
        <v>41.103450000000002</v>
      </c>
    </row>
    <row r="99" spans="1:10" ht="19.5" customHeight="1" thickBot="1" x14ac:dyDescent="0.4">
      <c r="A99" s="633" t="s">
        <v>78</v>
      </c>
      <c r="B99" s="634"/>
      <c r="C99" s="375" t="s">
        <v>116</v>
      </c>
      <c r="D99" s="378">
        <f>D98/$B$98</f>
        <v>0.17213499999999998</v>
      </c>
      <c r="E99" s="313"/>
      <c r="F99" s="316">
        <f>F98/$B$98</f>
        <v>0.1644138</v>
      </c>
      <c r="H99" s="306"/>
    </row>
    <row r="100" spans="1:10" ht="19.5" customHeight="1" thickBot="1" x14ac:dyDescent="0.4">
      <c r="A100" s="635"/>
      <c r="B100" s="636"/>
      <c r="C100" s="375" t="s">
        <v>80</v>
      </c>
      <c r="D100" s="379">
        <f>$B$56/$B$116</f>
        <v>0.16666666666666666</v>
      </c>
      <c r="F100" s="321"/>
      <c r="G100" s="380"/>
      <c r="H100" s="306"/>
    </row>
    <row r="101" spans="1:10" ht="18" x14ac:dyDescent="0.35">
      <c r="C101" s="375" t="s">
        <v>81</v>
      </c>
      <c r="D101" s="376">
        <f>D100*$B$98</f>
        <v>41.666666666666664</v>
      </c>
      <c r="F101" s="321"/>
      <c r="H101" s="306"/>
    </row>
    <row r="102" spans="1:10" ht="19.5" customHeight="1" thickBot="1" x14ac:dyDescent="0.4">
      <c r="C102" s="381" t="s">
        <v>82</v>
      </c>
      <c r="D102" s="382">
        <f>D101/B34</f>
        <v>41.666666666666664</v>
      </c>
      <c r="F102" s="325"/>
      <c r="H102" s="306"/>
      <c r="J102" s="383"/>
    </row>
    <row r="103" spans="1:10" ht="18" x14ac:dyDescent="0.35">
      <c r="C103" s="384" t="s">
        <v>117</v>
      </c>
      <c r="D103" s="385">
        <f>AVERAGE(E91:E94,G91:G94)</f>
        <v>8463372.2502168547</v>
      </c>
      <c r="F103" s="325"/>
      <c r="G103" s="380"/>
      <c r="H103" s="306"/>
      <c r="J103" s="386"/>
    </row>
    <row r="104" spans="1:10" ht="18" x14ac:dyDescent="0.35">
      <c r="C104" s="358" t="s">
        <v>84</v>
      </c>
      <c r="D104" s="387">
        <f>STDEV(E91:E94,G91:G94)/D103</f>
        <v>2.3024255781665783E-3</v>
      </c>
      <c r="F104" s="325"/>
      <c r="H104" s="306"/>
      <c r="J104" s="386"/>
    </row>
    <row r="105" spans="1:10" ht="19.5" customHeight="1" thickBot="1" x14ac:dyDescent="0.4">
      <c r="C105" s="360" t="s">
        <v>20</v>
      </c>
      <c r="D105" s="388">
        <f>COUNT(E91:E94,G91:G94)</f>
        <v>6</v>
      </c>
      <c r="F105" s="325"/>
      <c r="H105" s="306"/>
      <c r="J105" s="386"/>
    </row>
    <row r="106" spans="1:10" ht="19.5" customHeight="1" thickBot="1" x14ac:dyDescent="0.4">
      <c r="A106" s="329"/>
      <c r="B106" s="329"/>
      <c r="C106" s="329"/>
      <c r="D106" s="329"/>
      <c r="E106" s="329"/>
    </row>
    <row r="107" spans="1:10" ht="26.25" customHeight="1" x14ac:dyDescent="0.45">
      <c r="A107" s="279" t="s">
        <v>118</v>
      </c>
      <c r="B107" s="280">
        <v>900</v>
      </c>
      <c r="C107" s="363" t="s">
        <v>119</v>
      </c>
      <c r="D107" s="389" t="s">
        <v>63</v>
      </c>
      <c r="E107" s="390" t="s">
        <v>120</v>
      </c>
      <c r="F107" s="391" t="s">
        <v>121</v>
      </c>
    </row>
    <row r="108" spans="1:10" ht="26.25" customHeight="1" x14ac:dyDescent="0.45">
      <c r="A108" s="281" t="s">
        <v>122</v>
      </c>
      <c r="B108" s="282">
        <v>1</v>
      </c>
      <c r="C108" s="392">
        <v>1</v>
      </c>
      <c r="D108" s="393">
        <v>8255872</v>
      </c>
      <c r="E108" s="394">
        <f t="shared" ref="E108:E113" si="1">IF(ISBLANK(D108),"-",D108/$D$103*$D$100*$B$116)</f>
        <v>146.32238348824481</v>
      </c>
      <c r="F108" s="395">
        <f t="shared" ref="F108:F113" si="2">IF(ISBLANK(D108), "-", E108/$B$56)</f>
        <v>0.97548255658829874</v>
      </c>
    </row>
    <row r="109" spans="1:10" ht="26.25" customHeight="1" x14ac:dyDescent="0.45">
      <c r="A109" s="281" t="s">
        <v>95</v>
      </c>
      <c r="B109" s="282">
        <v>1</v>
      </c>
      <c r="C109" s="392">
        <v>2</v>
      </c>
      <c r="D109" s="393">
        <v>8177465</v>
      </c>
      <c r="E109" s="396">
        <f t="shared" si="1"/>
        <v>144.93274237920593</v>
      </c>
      <c r="F109" s="397">
        <f t="shared" si="2"/>
        <v>0.96621828252803954</v>
      </c>
    </row>
    <row r="110" spans="1:10" ht="26.25" customHeight="1" x14ac:dyDescent="0.45">
      <c r="A110" s="281" t="s">
        <v>96</v>
      </c>
      <c r="B110" s="282">
        <v>1</v>
      </c>
      <c r="C110" s="392">
        <v>3</v>
      </c>
      <c r="D110" s="393">
        <v>8211019</v>
      </c>
      <c r="E110" s="396">
        <f t="shared" si="1"/>
        <v>145.52743440635518</v>
      </c>
      <c r="F110" s="397">
        <f t="shared" si="2"/>
        <v>0.97018289604236785</v>
      </c>
    </row>
    <row r="111" spans="1:10" ht="26.25" customHeight="1" x14ac:dyDescent="0.45">
      <c r="A111" s="281" t="s">
        <v>97</v>
      </c>
      <c r="B111" s="282">
        <v>1</v>
      </c>
      <c r="C111" s="392">
        <v>4</v>
      </c>
      <c r="D111" s="393">
        <v>8434734</v>
      </c>
      <c r="E111" s="396">
        <f t="shared" si="1"/>
        <v>149.49243192837014</v>
      </c>
      <c r="F111" s="397">
        <f t="shared" si="2"/>
        <v>0.99661621285580093</v>
      </c>
    </row>
    <row r="112" spans="1:10" ht="26.25" customHeight="1" x14ac:dyDescent="0.45">
      <c r="A112" s="281" t="s">
        <v>98</v>
      </c>
      <c r="B112" s="282">
        <v>1</v>
      </c>
      <c r="C112" s="392">
        <v>5</v>
      </c>
      <c r="D112" s="393">
        <v>8367965</v>
      </c>
      <c r="E112" s="396">
        <f t="shared" si="1"/>
        <v>148.30905611741684</v>
      </c>
      <c r="F112" s="397">
        <f t="shared" si="2"/>
        <v>0.98872704078277895</v>
      </c>
    </row>
    <row r="113" spans="1:10" ht="26.25" customHeight="1" x14ac:dyDescent="0.45">
      <c r="A113" s="281" t="s">
        <v>100</v>
      </c>
      <c r="B113" s="282">
        <v>1</v>
      </c>
      <c r="C113" s="398">
        <v>6</v>
      </c>
      <c r="D113" s="399">
        <v>8057076</v>
      </c>
      <c r="E113" s="400">
        <f t="shared" si="1"/>
        <v>142.79903616067853</v>
      </c>
      <c r="F113" s="401">
        <f t="shared" si="2"/>
        <v>0.95199357440452348</v>
      </c>
    </row>
    <row r="114" spans="1:10" ht="26.25" customHeight="1" x14ac:dyDescent="0.45">
      <c r="A114" s="281" t="s">
        <v>101</v>
      </c>
      <c r="B114" s="282">
        <v>1</v>
      </c>
      <c r="C114" s="392"/>
      <c r="D114" s="311"/>
      <c r="E114" s="254"/>
      <c r="F114" s="402"/>
    </row>
    <row r="115" spans="1:10" ht="26.25" customHeight="1" x14ac:dyDescent="0.45">
      <c r="A115" s="281" t="s">
        <v>102</v>
      </c>
      <c r="B115" s="282">
        <v>1</v>
      </c>
      <c r="C115" s="392"/>
      <c r="D115" s="403" t="s">
        <v>71</v>
      </c>
      <c r="E115" s="404">
        <f>AVERAGE(E108:E113)</f>
        <v>146.23051408004523</v>
      </c>
      <c r="F115" s="405">
        <f>AVERAGE(F108:F113)</f>
        <v>0.97487009386696821</v>
      </c>
    </row>
    <row r="116" spans="1:10" ht="27" customHeight="1" thickBot="1" x14ac:dyDescent="0.5">
      <c r="A116" s="281" t="s">
        <v>103</v>
      </c>
      <c r="B116" s="293">
        <f>(B115/B114)*(B113/B112)*(B111/B110)*(B109/B108)*B107</f>
        <v>900</v>
      </c>
      <c r="C116" s="406"/>
      <c r="D116" s="265" t="s">
        <v>84</v>
      </c>
      <c r="E116" s="407">
        <f>STDEV(E108:E113)/E115</f>
        <v>1.6447299158166905E-2</v>
      </c>
      <c r="F116" s="407">
        <f>STDEV(F108:F113)/F115</f>
        <v>1.6447299158166919E-2</v>
      </c>
      <c r="I116" s="254"/>
    </row>
    <row r="117" spans="1:10" ht="27" customHeight="1" thickBot="1" x14ac:dyDescent="0.5">
      <c r="A117" s="633" t="s">
        <v>78</v>
      </c>
      <c r="B117" s="637"/>
      <c r="C117" s="408"/>
      <c r="D117" s="409" t="s">
        <v>20</v>
      </c>
      <c r="E117" s="410">
        <f>COUNT(E108:E113)</f>
        <v>6</v>
      </c>
      <c r="F117" s="410">
        <f>COUNT(F108:F113)</f>
        <v>6</v>
      </c>
      <c r="I117" s="254"/>
      <c r="J117" s="386"/>
    </row>
    <row r="118" spans="1:10" ht="19.5" customHeight="1" thickBot="1" x14ac:dyDescent="0.4">
      <c r="A118" s="635"/>
      <c r="B118" s="638"/>
      <c r="C118" s="254"/>
      <c r="D118" s="254"/>
      <c r="E118" s="254"/>
      <c r="F118" s="311"/>
      <c r="G118" s="254"/>
      <c r="H118" s="254"/>
      <c r="I118" s="254"/>
    </row>
    <row r="119" spans="1:10" ht="18" x14ac:dyDescent="0.35">
      <c r="A119" s="411"/>
      <c r="B119" s="277"/>
      <c r="C119" s="254"/>
      <c r="D119" s="254"/>
      <c r="E119" s="254"/>
      <c r="F119" s="311"/>
      <c r="G119" s="254"/>
      <c r="H119" s="254"/>
      <c r="I119" s="254"/>
    </row>
    <row r="120" spans="1:10" ht="26.25" customHeight="1" x14ac:dyDescent="0.45">
      <c r="A120" s="264" t="s">
        <v>106</v>
      </c>
      <c r="B120" s="265" t="s">
        <v>123</v>
      </c>
      <c r="C120" s="639" t="str">
        <f>B20</f>
        <v xml:space="preserve">Rifampicin, Isoniazid, Pyrazinamide 
</v>
      </c>
      <c r="D120" s="639"/>
      <c r="E120" s="254" t="s">
        <v>124</v>
      </c>
      <c r="F120" s="254"/>
      <c r="G120" s="362">
        <f>F115</f>
        <v>0.97487009386696821</v>
      </c>
      <c r="H120" s="254"/>
      <c r="I120" s="254"/>
    </row>
    <row r="121" spans="1:10" ht="19.5" customHeight="1" thickBot="1" x14ac:dyDescent="0.4">
      <c r="A121" s="412"/>
      <c r="B121" s="412"/>
      <c r="C121" s="413"/>
      <c r="D121" s="413"/>
      <c r="E121" s="413"/>
      <c r="F121" s="413"/>
      <c r="G121" s="413"/>
      <c r="H121" s="413"/>
    </row>
    <row r="122" spans="1:10" ht="18" x14ac:dyDescent="0.35">
      <c r="B122" s="640" t="s">
        <v>26</v>
      </c>
      <c r="C122" s="640"/>
      <c r="E122" s="365" t="s">
        <v>27</v>
      </c>
      <c r="F122" s="414"/>
      <c r="G122" s="640" t="s">
        <v>28</v>
      </c>
      <c r="H122" s="640"/>
    </row>
    <row r="123" spans="1:10" ht="69.900000000000006" customHeight="1" x14ac:dyDescent="0.35">
      <c r="A123" s="264" t="s">
        <v>29</v>
      </c>
      <c r="B123" s="415"/>
      <c r="C123" s="415"/>
      <c r="E123" s="415"/>
      <c r="F123" s="254"/>
      <c r="G123" s="415"/>
      <c r="H123" s="415"/>
    </row>
    <row r="124" spans="1:10" ht="69.900000000000006" customHeight="1" x14ac:dyDescent="0.35">
      <c r="A124" s="264" t="s">
        <v>30</v>
      </c>
      <c r="B124" s="416"/>
      <c r="C124" s="416"/>
      <c r="E124" s="416"/>
      <c r="F124" s="254"/>
      <c r="G124" s="417"/>
      <c r="H124" s="417"/>
    </row>
    <row r="125" spans="1:10" ht="18" x14ac:dyDescent="0.35">
      <c r="A125" s="311"/>
      <c r="B125" s="311"/>
      <c r="C125" s="311"/>
      <c r="D125" s="311"/>
      <c r="E125" s="311"/>
      <c r="F125" s="313"/>
      <c r="G125" s="311"/>
      <c r="H125" s="311"/>
      <c r="I125" s="254"/>
    </row>
    <row r="126" spans="1:10" ht="18" x14ac:dyDescent="0.35">
      <c r="A126" s="311"/>
      <c r="B126" s="311"/>
      <c r="C126" s="311"/>
      <c r="D126" s="311"/>
      <c r="E126" s="311"/>
      <c r="F126" s="313"/>
      <c r="G126" s="311"/>
      <c r="H126" s="311"/>
      <c r="I126" s="254"/>
    </row>
    <row r="127" spans="1:10" ht="18" x14ac:dyDescent="0.35">
      <c r="A127" s="311"/>
      <c r="B127" s="311"/>
      <c r="C127" s="311"/>
      <c r="D127" s="311"/>
      <c r="E127" s="311"/>
      <c r="F127" s="313"/>
      <c r="G127" s="311"/>
      <c r="H127" s="311"/>
      <c r="I127" s="254"/>
    </row>
    <row r="128" spans="1:10" ht="18" x14ac:dyDescent="0.35">
      <c r="A128" s="311"/>
      <c r="B128" s="311"/>
      <c r="C128" s="311"/>
      <c r="D128" s="311"/>
      <c r="E128" s="311"/>
      <c r="F128" s="313"/>
      <c r="G128" s="311"/>
      <c r="H128" s="311"/>
      <c r="I128" s="254"/>
    </row>
    <row r="129" spans="1:9" ht="18" x14ac:dyDescent="0.35">
      <c r="A129" s="311"/>
      <c r="B129" s="311"/>
      <c r="C129" s="311"/>
      <c r="D129" s="311"/>
      <c r="E129" s="311"/>
      <c r="F129" s="313"/>
      <c r="G129" s="311"/>
      <c r="H129" s="311"/>
      <c r="I129" s="254"/>
    </row>
    <row r="130" spans="1:9" ht="18" x14ac:dyDescent="0.35">
      <c r="A130" s="311"/>
      <c r="B130" s="311"/>
      <c r="C130" s="311"/>
      <c r="D130" s="311"/>
      <c r="E130" s="311"/>
      <c r="F130" s="313"/>
      <c r="G130" s="311"/>
      <c r="H130" s="311"/>
      <c r="I130" s="254"/>
    </row>
    <row r="131" spans="1:9" ht="18" x14ac:dyDescent="0.35">
      <c r="A131" s="311"/>
      <c r="B131" s="311"/>
      <c r="C131" s="311"/>
      <c r="D131" s="311"/>
      <c r="E131" s="311"/>
      <c r="F131" s="313"/>
      <c r="G131" s="311"/>
      <c r="H131" s="311"/>
      <c r="I131" s="254"/>
    </row>
    <row r="132" spans="1:9" ht="18" x14ac:dyDescent="0.35">
      <c r="A132" s="311"/>
      <c r="B132" s="311"/>
      <c r="C132" s="311"/>
      <c r="D132" s="311"/>
      <c r="E132" s="311"/>
      <c r="F132" s="313"/>
      <c r="G132" s="311"/>
      <c r="H132" s="311"/>
      <c r="I132" s="254"/>
    </row>
    <row r="133" spans="1:9" ht="18" x14ac:dyDescent="0.35">
      <c r="A133" s="311"/>
      <c r="B133" s="311"/>
      <c r="C133" s="311"/>
      <c r="D133" s="311"/>
      <c r="E133" s="311"/>
      <c r="F133" s="313"/>
      <c r="G133" s="311"/>
      <c r="H133" s="311"/>
      <c r="I133" s="254"/>
    </row>
    <row r="250" spans="1:1" x14ac:dyDescent="0.3">
      <c r="A250" s="253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74" zoomScale="70" zoomScaleNormal="70" zoomScalePageLayoutView="55" workbookViewId="0">
      <selection activeCell="F93" sqref="F93"/>
    </sheetView>
  </sheetViews>
  <sheetFormatPr defaultColWidth="9.109375" defaultRowHeight="13.8" x14ac:dyDescent="0.3"/>
  <cols>
    <col min="1" max="1" width="55.44140625" style="418" customWidth="1"/>
    <col min="2" max="2" width="33.6640625" style="418" customWidth="1"/>
    <col min="3" max="3" width="42.33203125" style="418" customWidth="1"/>
    <col min="4" max="4" width="30.5546875" style="418" customWidth="1"/>
    <col min="5" max="5" width="39.88671875" style="418" customWidth="1"/>
    <col min="6" max="6" width="30.6640625" style="418" customWidth="1"/>
    <col min="7" max="7" width="39.88671875" style="418" customWidth="1"/>
    <col min="8" max="8" width="30" style="418" customWidth="1"/>
    <col min="9" max="9" width="30.33203125" style="418" hidden="1" customWidth="1"/>
    <col min="10" max="10" width="30.44140625" style="418" customWidth="1"/>
    <col min="11" max="11" width="21.33203125" style="418" customWidth="1"/>
    <col min="12" max="12" width="9.109375" style="418"/>
    <col min="13" max="16384" width="9.109375" style="420"/>
  </cols>
  <sheetData>
    <row r="1" spans="1:9" ht="18.75" customHeight="1" x14ac:dyDescent="0.3">
      <c r="A1" s="701" t="s">
        <v>45</v>
      </c>
      <c r="B1" s="701"/>
      <c r="C1" s="701"/>
      <c r="D1" s="701"/>
      <c r="E1" s="701"/>
      <c r="F1" s="701"/>
      <c r="G1" s="701"/>
      <c r="H1" s="701"/>
      <c r="I1" s="701"/>
    </row>
    <row r="2" spans="1:9" ht="18.75" customHeight="1" x14ac:dyDescent="0.3">
      <c r="A2" s="701"/>
      <c r="B2" s="701"/>
      <c r="C2" s="701"/>
      <c r="D2" s="701"/>
      <c r="E2" s="701"/>
      <c r="F2" s="701"/>
      <c r="G2" s="701"/>
      <c r="H2" s="701"/>
      <c r="I2" s="701"/>
    </row>
    <row r="3" spans="1:9" ht="18.75" customHeight="1" x14ac:dyDescent="0.3">
      <c r="A3" s="701"/>
      <c r="B3" s="701"/>
      <c r="C3" s="701"/>
      <c r="D3" s="701"/>
      <c r="E3" s="701"/>
      <c r="F3" s="701"/>
      <c r="G3" s="701"/>
      <c r="H3" s="701"/>
      <c r="I3" s="701"/>
    </row>
    <row r="4" spans="1:9" ht="18.75" customHeight="1" x14ac:dyDescent="0.3">
      <c r="A4" s="701"/>
      <c r="B4" s="701"/>
      <c r="C4" s="701"/>
      <c r="D4" s="701"/>
      <c r="E4" s="701"/>
      <c r="F4" s="701"/>
      <c r="G4" s="701"/>
      <c r="H4" s="701"/>
      <c r="I4" s="701"/>
    </row>
    <row r="5" spans="1:9" ht="18.75" customHeight="1" x14ac:dyDescent="0.3">
      <c r="A5" s="701"/>
      <c r="B5" s="701"/>
      <c r="C5" s="701"/>
      <c r="D5" s="701"/>
      <c r="E5" s="701"/>
      <c r="F5" s="701"/>
      <c r="G5" s="701"/>
      <c r="H5" s="701"/>
      <c r="I5" s="701"/>
    </row>
    <row r="6" spans="1:9" ht="18.75" customHeight="1" x14ac:dyDescent="0.3">
      <c r="A6" s="701"/>
      <c r="B6" s="701"/>
      <c r="C6" s="701"/>
      <c r="D6" s="701"/>
      <c r="E6" s="701"/>
      <c r="F6" s="701"/>
      <c r="G6" s="701"/>
      <c r="H6" s="701"/>
      <c r="I6" s="701"/>
    </row>
    <row r="7" spans="1:9" ht="18.75" customHeight="1" x14ac:dyDescent="0.3">
      <c r="A7" s="701"/>
      <c r="B7" s="701"/>
      <c r="C7" s="701"/>
      <c r="D7" s="701"/>
      <c r="E7" s="701"/>
      <c r="F7" s="701"/>
      <c r="G7" s="701"/>
      <c r="H7" s="701"/>
      <c r="I7" s="701"/>
    </row>
    <row r="8" spans="1:9" x14ac:dyDescent="0.3">
      <c r="A8" s="702" t="s">
        <v>46</v>
      </c>
      <c r="B8" s="702"/>
      <c r="C8" s="702"/>
      <c r="D8" s="702"/>
      <c r="E8" s="702"/>
      <c r="F8" s="702"/>
      <c r="G8" s="702"/>
      <c r="H8" s="702"/>
      <c r="I8" s="702"/>
    </row>
    <row r="9" spans="1:9" x14ac:dyDescent="0.3">
      <c r="A9" s="702"/>
      <c r="B9" s="702"/>
      <c r="C9" s="702"/>
      <c r="D9" s="702"/>
      <c r="E9" s="702"/>
      <c r="F9" s="702"/>
      <c r="G9" s="702"/>
      <c r="H9" s="702"/>
      <c r="I9" s="702"/>
    </row>
    <row r="10" spans="1:9" x14ac:dyDescent="0.3">
      <c r="A10" s="702"/>
      <c r="B10" s="702"/>
      <c r="C10" s="702"/>
      <c r="D10" s="702"/>
      <c r="E10" s="702"/>
      <c r="F10" s="702"/>
      <c r="G10" s="702"/>
      <c r="H10" s="702"/>
      <c r="I10" s="702"/>
    </row>
    <row r="11" spans="1:9" x14ac:dyDescent="0.3">
      <c r="A11" s="702"/>
      <c r="B11" s="702"/>
      <c r="C11" s="702"/>
      <c r="D11" s="702"/>
      <c r="E11" s="702"/>
      <c r="F11" s="702"/>
      <c r="G11" s="702"/>
      <c r="H11" s="702"/>
      <c r="I11" s="702"/>
    </row>
    <row r="12" spans="1:9" x14ac:dyDescent="0.3">
      <c r="A12" s="702"/>
      <c r="B12" s="702"/>
      <c r="C12" s="702"/>
      <c r="D12" s="702"/>
      <c r="E12" s="702"/>
      <c r="F12" s="702"/>
      <c r="G12" s="702"/>
      <c r="H12" s="702"/>
      <c r="I12" s="702"/>
    </row>
    <row r="13" spans="1:9" x14ac:dyDescent="0.3">
      <c r="A13" s="702"/>
      <c r="B13" s="702"/>
      <c r="C13" s="702"/>
      <c r="D13" s="702"/>
      <c r="E13" s="702"/>
      <c r="F13" s="702"/>
      <c r="G13" s="702"/>
      <c r="H13" s="702"/>
      <c r="I13" s="702"/>
    </row>
    <row r="14" spans="1:9" x14ac:dyDescent="0.3">
      <c r="A14" s="702"/>
      <c r="B14" s="702"/>
      <c r="C14" s="702"/>
      <c r="D14" s="702"/>
      <c r="E14" s="702"/>
      <c r="F14" s="702"/>
      <c r="G14" s="702"/>
      <c r="H14" s="702"/>
      <c r="I14" s="702"/>
    </row>
    <row r="15" spans="1:9" ht="19.5" customHeight="1" thickBot="1" x14ac:dyDescent="0.4">
      <c r="A15" s="419"/>
    </row>
    <row r="16" spans="1:9" ht="19.5" customHeight="1" thickBot="1" x14ac:dyDescent="0.4">
      <c r="A16" s="703" t="s">
        <v>31</v>
      </c>
      <c r="B16" s="704"/>
      <c r="C16" s="704"/>
      <c r="D16" s="704"/>
      <c r="E16" s="704"/>
      <c r="F16" s="704"/>
      <c r="G16" s="704"/>
      <c r="H16" s="705"/>
    </row>
    <row r="17" spans="1:14" ht="20.25" customHeight="1" x14ac:dyDescent="0.3">
      <c r="A17" s="706" t="s">
        <v>47</v>
      </c>
      <c r="B17" s="706"/>
      <c r="C17" s="706"/>
      <c r="D17" s="706"/>
      <c r="E17" s="706"/>
      <c r="F17" s="706"/>
      <c r="G17" s="706"/>
      <c r="H17" s="706"/>
    </row>
    <row r="18" spans="1:14" ht="26.25" customHeight="1" x14ac:dyDescent="0.5">
      <c r="A18" s="421" t="s">
        <v>33</v>
      </c>
      <c r="B18" s="710" t="s">
        <v>137</v>
      </c>
      <c r="C18" s="710"/>
      <c r="D18" s="422"/>
      <c r="E18" s="423"/>
      <c r="F18" s="424"/>
      <c r="G18" s="424"/>
      <c r="H18" s="424"/>
    </row>
    <row r="19" spans="1:14" ht="26.25" customHeight="1" x14ac:dyDescent="0.5">
      <c r="A19" s="421" t="s">
        <v>34</v>
      </c>
      <c r="B19" s="425" t="s">
        <v>7</v>
      </c>
      <c r="C19" s="424">
        <v>29</v>
      </c>
      <c r="D19" s="424"/>
      <c r="E19" s="424"/>
      <c r="F19" s="424"/>
      <c r="G19" s="424"/>
      <c r="H19" s="424"/>
    </row>
    <row r="20" spans="1:14" ht="26.25" customHeight="1" x14ac:dyDescent="0.5">
      <c r="A20" s="421" t="s">
        <v>35</v>
      </c>
      <c r="B20" s="708" t="s">
        <v>126</v>
      </c>
      <c r="C20" s="708"/>
      <c r="D20" s="424"/>
      <c r="E20" s="424"/>
      <c r="F20" s="424"/>
      <c r="G20" s="424"/>
      <c r="H20" s="424"/>
    </row>
    <row r="21" spans="1:14" ht="26.25" customHeight="1" x14ac:dyDescent="0.5">
      <c r="A21" s="421" t="s">
        <v>36</v>
      </c>
      <c r="B21" s="708" t="s">
        <v>138</v>
      </c>
      <c r="C21" s="708"/>
      <c r="D21" s="708"/>
      <c r="E21" s="708"/>
      <c r="F21" s="708"/>
      <c r="G21" s="708"/>
      <c r="H21" s="708"/>
      <c r="I21" s="426"/>
    </row>
    <row r="22" spans="1:14" ht="26.25" customHeight="1" x14ac:dyDescent="0.5">
      <c r="A22" s="421" t="s">
        <v>37</v>
      </c>
      <c r="B22" s="101">
        <v>42531.493668981479</v>
      </c>
      <c r="C22" s="424"/>
      <c r="D22" s="424"/>
      <c r="E22" s="424"/>
      <c r="F22" s="424"/>
      <c r="G22" s="424"/>
      <c r="H22" s="424"/>
    </row>
    <row r="23" spans="1:14" ht="26.25" customHeight="1" x14ac:dyDescent="0.5">
      <c r="A23" s="421" t="s">
        <v>38</v>
      </c>
      <c r="B23" s="101">
        <v>42535.41033564815</v>
      </c>
      <c r="C23" s="424"/>
      <c r="D23" s="424"/>
      <c r="E23" s="424"/>
      <c r="F23" s="424"/>
      <c r="G23" s="424"/>
      <c r="H23" s="424"/>
    </row>
    <row r="24" spans="1:14" ht="18" x14ac:dyDescent="0.35">
      <c r="A24" s="421"/>
      <c r="B24" s="427"/>
    </row>
    <row r="25" spans="1:14" ht="18" x14ac:dyDescent="0.35">
      <c r="A25" s="428" t="s">
        <v>1</v>
      </c>
      <c r="B25" s="427"/>
    </row>
    <row r="26" spans="1:14" ht="26.25" customHeight="1" x14ac:dyDescent="0.45">
      <c r="A26" s="429" t="s">
        <v>4</v>
      </c>
      <c r="B26" s="707" t="s">
        <v>132</v>
      </c>
      <c r="C26" s="707"/>
    </row>
    <row r="27" spans="1:14" ht="26.25" customHeight="1" x14ac:dyDescent="0.5">
      <c r="A27" s="430" t="s">
        <v>48</v>
      </c>
      <c r="B27" s="709" t="s">
        <v>133</v>
      </c>
      <c r="C27" s="709"/>
    </row>
    <row r="28" spans="1:14" ht="27" customHeight="1" thickBot="1" x14ac:dyDescent="0.5">
      <c r="A28" s="430" t="s">
        <v>6</v>
      </c>
      <c r="B28" s="431">
        <v>99.6</v>
      </c>
    </row>
    <row r="29" spans="1:14" s="433" customFormat="1" ht="27" customHeight="1" thickBot="1" x14ac:dyDescent="0.55000000000000004">
      <c r="A29" s="430" t="s">
        <v>49</v>
      </c>
      <c r="B29" s="432">
        <v>0</v>
      </c>
      <c r="C29" s="690" t="s">
        <v>50</v>
      </c>
      <c r="D29" s="691"/>
      <c r="E29" s="691"/>
      <c r="F29" s="691"/>
      <c r="G29" s="692"/>
      <c r="I29" s="434"/>
      <c r="J29" s="434"/>
      <c r="K29" s="434"/>
      <c r="L29" s="434"/>
    </row>
    <row r="30" spans="1:14" s="433" customFormat="1" ht="19.5" customHeight="1" thickBot="1" x14ac:dyDescent="0.4">
      <c r="A30" s="430" t="s">
        <v>51</v>
      </c>
      <c r="B30" s="435">
        <f>B28-B29</f>
        <v>99.6</v>
      </c>
      <c r="C30" s="436"/>
      <c r="D30" s="436"/>
      <c r="E30" s="436"/>
      <c r="F30" s="436"/>
      <c r="G30" s="437"/>
      <c r="I30" s="434"/>
      <c r="J30" s="434"/>
      <c r="K30" s="434"/>
      <c r="L30" s="434"/>
    </row>
    <row r="31" spans="1:14" s="433" customFormat="1" ht="27" customHeight="1" thickBot="1" x14ac:dyDescent="0.5">
      <c r="A31" s="430" t="s">
        <v>52</v>
      </c>
      <c r="B31" s="438">
        <v>1</v>
      </c>
      <c r="C31" s="693" t="s">
        <v>53</v>
      </c>
      <c r="D31" s="694"/>
      <c r="E31" s="694"/>
      <c r="F31" s="694"/>
      <c r="G31" s="694"/>
      <c r="H31" s="695"/>
      <c r="I31" s="434"/>
      <c r="J31" s="434"/>
      <c r="K31" s="434"/>
      <c r="L31" s="434"/>
    </row>
    <row r="32" spans="1:14" s="433" customFormat="1" ht="27" customHeight="1" thickBot="1" x14ac:dyDescent="0.5">
      <c r="A32" s="430" t="s">
        <v>54</v>
      </c>
      <c r="B32" s="438">
        <v>1</v>
      </c>
      <c r="C32" s="693" t="s">
        <v>55</v>
      </c>
      <c r="D32" s="694"/>
      <c r="E32" s="694"/>
      <c r="F32" s="694"/>
      <c r="G32" s="694"/>
      <c r="H32" s="695"/>
      <c r="I32" s="434"/>
      <c r="J32" s="434"/>
      <c r="K32" s="434"/>
      <c r="L32" s="439"/>
      <c r="M32" s="439"/>
      <c r="N32" s="440"/>
    </row>
    <row r="33" spans="1:14" s="433" customFormat="1" ht="17.25" customHeight="1" x14ac:dyDescent="0.35">
      <c r="A33" s="430"/>
      <c r="B33" s="441"/>
      <c r="C33" s="442"/>
      <c r="D33" s="442"/>
      <c r="E33" s="442"/>
      <c r="F33" s="442"/>
      <c r="G33" s="442"/>
      <c r="H33" s="442"/>
      <c r="I33" s="434"/>
      <c r="J33" s="434"/>
      <c r="K33" s="434"/>
      <c r="L33" s="439"/>
      <c r="M33" s="439"/>
      <c r="N33" s="440"/>
    </row>
    <row r="34" spans="1:14" s="433" customFormat="1" ht="18" x14ac:dyDescent="0.35">
      <c r="A34" s="430" t="s">
        <v>56</v>
      </c>
      <c r="B34" s="443">
        <f>B31/B32</f>
        <v>1</v>
      </c>
      <c r="C34" s="419" t="s">
        <v>57</v>
      </c>
      <c r="D34" s="419"/>
      <c r="E34" s="419"/>
      <c r="F34" s="419"/>
      <c r="G34" s="419"/>
      <c r="I34" s="434"/>
      <c r="J34" s="434"/>
      <c r="K34" s="434"/>
      <c r="L34" s="439"/>
      <c r="M34" s="439"/>
      <c r="N34" s="440"/>
    </row>
    <row r="35" spans="1:14" s="433" customFormat="1" ht="19.5" customHeight="1" thickBot="1" x14ac:dyDescent="0.4">
      <c r="A35" s="430"/>
      <c r="B35" s="435"/>
      <c r="G35" s="419"/>
      <c r="I35" s="434"/>
      <c r="J35" s="434"/>
      <c r="K35" s="434"/>
      <c r="L35" s="439"/>
      <c r="M35" s="439"/>
      <c r="N35" s="440"/>
    </row>
    <row r="36" spans="1:14" s="433" customFormat="1" ht="27" customHeight="1" thickBot="1" x14ac:dyDescent="0.5">
      <c r="A36" s="444" t="s">
        <v>58</v>
      </c>
      <c r="B36" s="445">
        <v>100</v>
      </c>
      <c r="C36" s="419"/>
      <c r="D36" s="680" t="s">
        <v>59</v>
      </c>
      <c r="E36" s="700"/>
      <c r="F36" s="680" t="s">
        <v>60</v>
      </c>
      <c r="G36" s="681"/>
      <c r="J36" s="434"/>
      <c r="K36" s="434"/>
      <c r="L36" s="439"/>
      <c r="M36" s="439"/>
      <c r="N36" s="440"/>
    </row>
    <row r="37" spans="1:14" s="433" customFormat="1" ht="27" customHeight="1" thickBot="1" x14ac:dyDescent="0.5">
      <c r="A37" s="446" t="s">
        <v>61</v>
      </c>
      <c r="B37" s="447">
        <v>1</v>
      </c>
      <c r="C37" s="448" t="s">
        <v>62</v>
      </c>
      <c r="D37" s="449" t="s">
        <v>63</v>
      </c>
      <c r="E37" s="450" t="s">
        <v>64</v>
      </c>
      <c r="F37" s="449" t="s">
        <v>63</v>
      </c>
      <c r="G37" s="451" t="s">
        <v>64</v>
      </c>
      <c r="I37" s="452" t="s">
        <v>65</v>
      </c>
      <c r="J37" s="434"/>
      <c r="K37" s="434"/>
      <c r="L37" s="439"/>
      <c r="M37" s="439"/>
      <c r="N37" s="440"/>
    </row>
    <row r="38" spans="1:14" s="433" customFormat="1" ht="26.25" customHeight="1" x14ac:dyDescent="0.45">
      <c r="A38" s="446" t="s">
        <v>66</v>
      </c>
      <c r="B38" s="447">
        <v>1</v>
      </c>
      <c r="C38" s="453">
        <v>1</v>
      </c>
      <c r="D38" s="454">
        <v>7530658</v>
      </c>
      <c r="E38" s="455">
        <f>IF(ISBLANK(D38),"-",$D$48/$D$45*D38)</f>
        <v>6811623.068851985</v>
      </c>
      <c r="F38" s="454">
        <v>6643464</v>
      </c>
      <c r="G38" s="456">
        <f>IF(ISBLANK(F38),"-",$D$48/$F$45*F38)</f>
        <v>6819317.1407675426</v>
      </c>
      <c r="I38" s="457"/>
      <c r="J38" s="434"/>
      <c r="K38" s="434"/>
      <c r="L38" s="439"/>
      <c r="M38" s="439"/>
      <c r="N38" s="440"/>
    </row>
    <row r="39" spans="1:14" s="433" customFormat="1" ht="26.25" customHeight="1" x14ac:dyDescent="0.45">
      <c r="A39" s="446" t="s">
        <v>67</v>
      </c>
      <c r="B39" s="447">
        <v>1</v>
      </c>
      <c r="C39" s="458">
        <v>2</v>
      </c>
      <c r="D39" s="459">
        <v>7502031</v>
      </c>
      <c r="E39" s="460">
        <f>IF(ISBLANK(D39),"-",$D$48/$D$45*D39)</f>
        <v>6785729.4041028991</v>
      </c>
      <c r="F39" s="459">
        <v>6624591</v>
      </c>
      <c r="G39" s="461">
        <f>IF(ISBLANK(F39),"-",$D$48/$F$45*F39)</f>
        <v>6799944.5706147263</v>
      </c>
      <c r="I39" s="671">
        <f>ABS((F43/D43*D42)-F42)/D42</f>
        <v>1.2652525095433311E-3</v>
      </c>
      <c r="J39" s="434"/>
      <c r="K39" s="434"/>
      <c r="L39" s="439"/>
      <c r="M39" s="439"/>
      <c r="N39" s="440"/>
    </row>
    <row r="40" spans="1:14" ht="26.25" customHeight="1" x14ac:dyDescent="0.45">
      <c r="A40" s="446" t="s">
        <v>68</v>
      </c>
      <c r="B40" s="447">
        <v>1</v>
      </c>
      <c r="C40" s="458">
        <v>3</v>
      </c>
      <c r="D40" s="459">
        <v>7472903</v>
      </c>
      <c r="E40" s="460">
        <f>IF(ISBLANK(D40),"-",$D$48/$D$45*D40)</f>
        <v>6759382.5753464317</v>
      </c>
      <c r="F40" s="459">
        <v>6592206</v>
      </c>
      <c r="G40" s="461">
        <f>IF(ISBLANK(F40),"-",$D$48/$F$45*F40)</f>
        <v>6766702.3365025595</v>
      </c>
      <c r="I40" s="671"/>
      <c r="L40" s="439"/>
      <c r="M40" s="439"/>
      <c r="N40" s="419"/>
    </row>
    <row r="41" spans="1:14" ht="27" customHeight="1" thickBot="1" x14ac:dyDescent="0.5">
      <c r="A41" s="446" t="s">
        <v>69</v>
      </c>
      <c r="B41" s="447">
        <v>1</v>
      </c>
      <c r="C41" s="462">
        <v>4</v>
      </c>
      <c r="D41" s="463"/>
      <c r="E41" s="464" t="str">
        <f>IF(ISBLANK(D41),"-",$D$48/$D$45*D41)</f>
        <v>-</v>
      </c>
      <c r="F41" s="463"/>
      <c r="G41" s="465" t="str">
        <f>IF(ISBLANK(F41),"-",$D$48/$F$45*F41)</f>
        <v>-</v>
      </c>
      <c r="I41" s="466"/>
      <c r="L41" s="439"/>
      <c r="M41" s="439"/>
      <c r="N41" s="419"/>
    </row>
    <row r="42" spans="1:14" ht="27" customHeight="1" thickBot="1" x14ac:dyDescent="0.5">
      <c r="A42" s="446" t="s">
        <v>70</v>
      </c>
      <c r="B42" s="447">
        <v>1</v>
      </c>
      <c r="C42" s="467" t="s">
        <v>71</v>
      </c>
      <c r="D42" s="468">
        <f>AVERAGE(D38:D41)</f>
        <v>7501864</v>
      </c>
      <c r="E42" s="469">
        <f>AVERAGE(E38:E41)</f>
        <v>6785578.3494337723</v>
      </c>
      <c r="F42" s="468">
        <f>AVERAGE(F38:F41)</f>
        <v>6620087</v>
      </c>
      <c r="G42" s="470">
        <f>AVERAGE(G38:G41)</f>
        <v>6795321.3492949428</v>
      </c>
      <c r="H42" s="471"/>
    </row>
    <row r="43" spans="1:14" ht="26.25" customHeight="1" x14ac:dyDescent="0.45">
      <c r="A43" s="446" t="s">
        <v>72</v>
      </c>
      <c r="B43" s="447">
        <v>1</v>
      </c>
      <c r="C43" s="472" t="s">
        <v>73</v>
      </c>
      <c r="D43" s="473">
        <v>17.760000000000002</v>
      </c>
      <c r="E43" s="419"/>
      <c r="F43" s="473">
        <v>15.65</v>
      </c>
      <c r="H43" s="471"/>
    </row>
    <row r="44" spans="1:14" ht="26.25" customHeight="1" x14ac:dyDescent="0.45">
      <c r="A44" s="446" t="s">
        <v>74</v>
      </c>
      <c r="B44" s="447">
        <v>1</v>
      </c>
      <c r="C44" s="474" t="s">
        <v>75</v>
      </c>
      <c r="D44" s="475">
        <f>D43*$B$34</f>
        <v>17.760000000000002</v>
      </c>
      <c r="E44" s="476"/>
      <c r="F44" s="475">
        <f>F43*$B$34</f>
        <v>15.65</v>
      </c>
      <c r="H44" s="471"/>
    </row>
    <row r="45" spans="1:14" ht="19.5" customHeight="1" thickBot="1" x14ac:dyDescent="0.4">
      <c r="A45" s="446" t="s">
        <v>76</v>
      </c>
      <c r="B45" s="458">
        <f>(B44/B43)*(B42/B41)*(B40/B39)*(B38/B37)*B36</f>
        <v>100</v>
      </c>
      <c r="C45" s="474" t="s">
        <v>77</v>
      </c>
      <c r="D45" s="477">
        <f>D44*$B$30/100</f>
        <v>17.688959999999998</v>
      </c>
      <c r="E45" s="478"/>
      <c r="F45" s="477">
        <f>F44*$B$30/100</f>
        <v>15.587400000000001</v>
      </c>
      <c r="H45" s="471"/>
    </row>
    <row r="46" spans="1:14" ht="19.5" customHeight="1" thickBot="1" x14ac:dyDescent="0.4">
      <c r="A46" s="672" t="s">
        <v>78</v>
      </c>
      <c r="B46" s="676"/>
      <c r="C46" s="474" t="s">
        <v>79</v>
      </c>
      <c r="D46" s="479">
        <f>D45/$B$45</f>
        <v>0.17688959999999998</v>
      </c>
      <c r="E46" s="480"/>
      <c r="F46" s="481">
        <f>F45/$B$45</f>
        <v>0.15587400000000001</v>
      </c>
      <c r="H46" s="471"/>
    </row>
    <row r="47" spans="1:14" ht="27" customHeight="1" thickBot="1" x14ac:dyDescent="0.5">
      <c r="A47" s="674"/>
      <c r="B47" s="677"/>
      <c r="C47" s="482" t="s">
        <v>80</v>
      </c>
      <c r="D47" s="483">
        <v>0.16</v>
      </c>
      <c r="E47" s="484"/>
      <c r="F47" s="480"/>
      <c r="H47" s="471"/>
    </row>
    <row r="48" spans="1:14" ht="18" x14ac:dyDescent="0.35">
      <c r="C48" s="485" t="s">
        <v>81</v>
      </c>
      <c r="D48" s="477">
        <f>D47*$B$45</f>
        <v>16</v>
      </c>
      <c r="F48" s="486"/>
      <c r="H48" s="471"/>
    </row>
    <row r="49" spans="1:12" ht="19.5" customHeight="1" thickBot="1" x14ac:dyDescent="0.4">
      <c r="C49" s="487" t="s">
        <v>82</v>
      </c>
      <c r="D49" s="488">
        <f>D48/B34</f>
        <v>16</v>
      </c>
      <c r="F49" s="486"/>
      <c r="H49" s="471"/>
    </row>
    <row r="50" spans="1:12" ht="18" x14ac:dyDescent="0.35">
      <c r="C50" s="444" t="s">
        <v>83</v>
      </c>
      <c r="D50" s="489">
        <f>AVERAGE(E38:E41,G38:G41)</f>
        <v>6790449.849364358</v>
      </c>
      <c r="F50" s="490"/>
      <c r="H50" s="471"/>
    </row>
    <row r="51" spans="1:12" ht="18" x14ac:dyDescent="0.35">
      <c r="C51" s="446" t="s">
        <v>84</v>
      </c>
      <c r="D51" s="491">
        <f>STDEV(E38:E41,G38:G41)/D50</f>
        <v>3.5607712850835934E-3</v>
      </c>
      <c r="F51" s="490"/>
      <c r="H51" s="471"/>
    </row>
    <row r="52" spans="1:12" ht="19.5" customHeight="1" thickBot="1" x14ac:dyDescent="0.4">
      <c r="C52" s="492" t="s">
        <v>20</v>
      </c>
      <c r="D52" s="493">
        <f>COUNT(E38:E41,G38:G41)</f>
        <v>6</v>
      </c>
      <c r="F52" s="490"/>
    </row>
    <row r="54" spans="1:12" ht="18" x14ac:dyDescent="0.35">
      <c r="A54" s="494" t="s">
        <v>1</v>
      </c>
      <c r="B54" s="495" t="s">
        <v>85</v>
      </c>
    </row>
    <row r="55" spans="1:12" ht="18" x14ac:dyDescent="0.35">
      <c r="A55" s="419" t="s">
        <v>86</v>
      </c>
      <c r="B55" s="496" t="str">
        <f>B21</f>
        <v xml:space="preserve">Rifampicin 60 mg, Isoniazid 30 mg, Pyrazinamide 150 mg 
</v>
      </c>
    </row>
    <row r="56" spans="1:12" ht="26.25" customHeight="1" x14ac:dyDescent="0.45">
      <c r="A56" s="496" t="s">
        <v>87</v>
      </c>
      <c r="B56" s="497">
        <v>60</v>
      </c>
      <c r="C56" s="419" t="str">
        <f>B26</f>
        <v>Rifampicin</v>
      </c>
      <c r="H56" s="476"/>
    </row>
    <row r="57" spans="1:12" ht="18" x14ac:dyDescent="0.35">
      <c r="A57" s="496" t="s">
        <v>88</v>
      </c>
      <c r="B57" s="498">
        <f>Uniformity!C46</f>
        <v>301.16300000000001</v>
      </c>
      <c r="H57" s="476"/>
    </row>
    <row r="58" spans="1:12" ht="19.5" customHeight="1" thickBot="1" x14ac:dyDescent="0.4">
      <c r="H58" s="476"/>
    </row>
    <row r="59" spans="1:12" s="433" customFormat="1" ht="27" customHeight="1" thickBot="1" x14ac:dyDescent="0.5">
      <c r="A59" s="444" t="s">
        <v>89</v>
      </c>
      <c r="B59" s="445">
        <v>100</v>
      </c>
      <c r="C59" s="419"/>
      <c r="D59" s="499" t="s">
        <v>90</v>
      </c>
      <c r="E59" s="500" t="s">
        <v>62</v>
      </c>
      <c r="F59" s="500" t="s">
        <v>63</v>
      </c>
      <c r="G59" s="500" t="s">
        <v>91</v>
      </c>
      <c r="H59" s="448" t="s">
        <v>92</v>
      </c>
      <c r="L59" s="434"/>
    </row>
    <row r="60" spans="1:12" s="433" customFormat="1" ht="26.25" customHeight="1" x14ac:dyDescent="0.45">
      <c r="A60" s="446" t="s">
        <v>93</v>
      </c>
      <c r="B60" s="447">
        <v>1</v>
      </c>
      <c r="C60" s="682" t="s">
        <v>94</v>
      </c>
      <c r="D60" s="685">
        <v>79.3</v>
      </c>
      <c r="E60" s="501">
        <v>1</v>
      </c>
      <c r="F60" s="502">
        <v>6272073</v>
      </c>
      <c r="G60" s="503">
        <f>IF(ISBLANK(F60),"-",(F60/$D$50*$D$47*$B$68)*($B$57/$D$60))</f>
        <v>56.125596322242117</v>
      </c>
      <c r="H60" s="504">
        <f t="shared" ref="H60:H71" si="0">IF(ISBLANK(F60),"-",G60/$B$56)</f>
        <v>0.93542660537070199</v>
      </c>
      <c r="L60" s="434"/>
    </row>
    <row r="61" spans="1:12" s="433" customFormat="1" ht="26.25" customHeight="1" x14ac:dyDescent="0.45">
      <c r="A61" s="446" t="s">
        <v>95</v>
      </c>
      <c r="B61" s="447">
        <v>1</v>
      </c>
      <c r="C61" s="683"/>
      <c r="D61" s="686"/>
      <c r="E61" s="505">
        <v>2</v>
      </c>
      <c r="F61" s="459">
        <v>6238227</v>
      </c>
      <c r="G61" s="506">
        <f>IF(ISBLANK(F61),"-",(F61/$D$50*$D$47*$B$68)*($B$57/$D$60))</f>
        <v>55.822725655219806</v>
      </c>
      <c r="H61" s="507">
        <f t="shared" si="0"/>
        <v>0.93037876092033012</v>
      </c>
      <c r="L61" s="434"/>
    </row>
    <row r="62" spans="1:12" s="433" customFormat="1" ht="26.25" customHeight="1" x14ac:dyDescent="0.45">
      <c r="A62" s="446" t="s">
        <v>96</v>
      </c>
      <c r="B62" s="447">
        <v>1</v>
      </c>
      <c r="C62" s="683"/>
      <c r="D62" s="686"/>
      <c r="E62" s="505">
        <v>3</v>
      </c>
      <c r="F62" s="508">
        <v>6200333</v>
      </c>
      <c r="G62" s="506">
        <f>IF(ISBLANK(F62),"-",(F62/$D$50*$D$47*$B$68)*($B$57/$D$60))</f>
        <v>55.48363149176938</v>
      </c>
      <c r="H62" s="507">
        <f t="shared" si="0"/>
        <v>0.92472719152948968</v>
      </c>
      <c r="L62" s="434"/>
    </row>
    <row r="63" spans="1:12" ht="27" customHeight="1" thickBot="1" x14ac:dyDescent="0.5">
      <c r="A63" s="446" t="s">
        <v>97</v>
      </c>
      <c r="B63" s="447">
        <v>1</v>
      </c>
      <c r="C63" s="684"/>
      <c r="D63" s="687"/>
      <c r="E63" s="509">
        <v>4</v>
      </c>
      <c r="F63" s="510"/>
      <c r="G63" s="506" t="str">
        <f>IF(ISBLANK(F63),"-",(F63/$D$50*$D$47*$B$68)*($B$57/$D$60))</f>
        <v>-</v>
      </c>
      <c r="H63" s="507" t="str">
        <f t="shared" si="0"/>
        <v>-</v>
      </c>
    </row>
    <row r="64" spans="1:12" ht="26.25" customHeight="1" x14ac:dyDescent="0.45">
      <c r="A64" s="446" t="s">
        <v>98</v>
      </c>
      <c r="B64" s="447">
        <v>1</v>
      </c>
      <c r="C64" s="682" t="s">
        <v>99</v>
      </c>
      <c r="D64" s="685">
        <v>83.85</v>
      </c>
      <c r="E64" s="501">
        <v>1</v>
      </c>
      <c r="F64" s="502">
        <v>6688006</v>
      </c>
      <c r="G64" s="511">
        <f>IF(ISBLANK(F64),"-",(F64/$D$50*$D$47*$B$68)*($B$57/$D$64))</f>
        <v>56.600026996157688</v>
      </c>
      <c r="H64" s="512">
        <f t="shared" si="0"/>
        <v>0.94333378326929485</v>
      </c>
    </row>
    <row r="65" spans="1:8" ht="26.25" customHeight="1" x14ac:dyDescent="0.45">
      <c r="A65" s="446" t="s">
        <v>100</v>
      </c>
      <c r="B65" s="447">
        <v>1</v>
      </c>
      <c r="C65" s="683"/>
      <c r="D65" s="686"/>
      <c r="E65" s="505">
        <v>2</v>
      </c>
      <c r="F65" s="459">
        <v>6646412</v>
      </c>
      <c r="G65" s="513">
        <f>IF(ISBLANK(F65),"-",(F65/$D$50*$D$47*$B$68)*($B$57/$D$64))</f>
        <v>56.248020505302541</v>
      </c>
      <c r="H65" s="514">
        <f t="shared" si="0"/>
        <v>0.93746700842170905</v>
      </c>
    </row>
    <row r="66" spans="1:8" ht="26.25" customHeight="1" x14ac:dyDescent="0.45">
      <c r="A66" s="446" t="s">
        <v>101</v>
      </c>
      <c r="B66" s="447">
        <v>1</v>
      </c>
      <c r="C66" s="683"/>
      <c r="D66" s="686"/>
      <c r="E66" s="505">
        <v>3</v>
      </c>
      <c r="F66" s="459">
        <v>6600585</v>
      </c>
      <c r="G66" s="513">
        <f>IF(ISBLANK(F66),"-",(F66/$D$50*$D$47*$B$68)*($B$57/$D$64))</f>
        <v>55.86019049481019</v>
      </c>
      <c r="H66" s="514">
        <f t="shared" si="0"/>
        <v>0.93100317491350315</v>
      </c>
    </row>
    <row r="67" spans="1:8" ht="27" customHeight="1" thickBot="1" x14ac:dyDescent="0.5">
      <c r="A67" s="446" t="s">
        <v>102</v>
      </c>
      <c r="B67" s="447">
        <v>1</v>
      </c>
      <c r="C67" s="684"/>
      <c r="D67" s="687"/>
      <c r="E67" s="509">
        <v>4</v>
      </c>
      <c r="F67" s="510"/>
      <c r="G67" s="515" t="str">
        <f>IF(ISBLANK(F67),"-",(F67/$D$50*$D$47*$B$68)*($B$57/$D$64))</f>
        <v>-</v>
      </c>
      <c r="H67" s="516" t="str">
        <f t="shared" si="0"/>
        <v>-</v>
      </c>
    </row>
    <row r="68" spans="1:8" ht="26.25" customHeight="1" x14ac:dyDescent="0.5">
      <c r="A68" s="446" t="s">
        <v>103</v>
      </c>
      <c r="B68" s="517">
        <f>(B67/B66)*(B65/B64)*(B63/B62)*(B61/B60)*B59</f>
        <v>100</v>
      </c>
      <c r="C68" s="682" t="s">
        <v>104</v>
      </c>
      <c r="D68" s="685">
        <v>82.16</v>
      </c>
      <c r="E68" s="501">
        <v>1</v>
      </c>
      <c r="F68" s="502">
        <v>6570872</v>
      </c>
      <c r="G68" s="511">
        <f>IF(ISBLANK(F68),"-",(F68/$D$50*$D$47*$B$68)*($B$57/$D$68))</f>
        <v>56.752582396219488</v>
      </c>
      <c r="H68" s="507">
        <f t="shared" si="0"/>
        <v>0.94587637327032481</v>
      </c>
    </row>
    <row r="69" spans="1:8" ht="27" customHeight="1" thickBot="1" x14ac:dyDescent="0.55000000000000004">
      <c r="A69" s="492" t="s">
        <v>105</v>
      </c>
      <c r="B69" s="518">
        <f>(D47*B68)/B56*B57</f>
        <v>80.31013333333334</v>
      </c>
      <c r="C69" s="683"/>
      <c r="D69" s="686"/>
      <c r="E69" s="505">
        <v>2</v>
      </c>
      <c r="F69" s="459">
        <v>6501760</v>
      </c>
      <c r="G69" s="513">
        <f>IF(ISBLANK(F69),"-",(F69/$D$50*$D$47*$B$68)*($B$57/$D$68))</f>
        <v>56.155662463131847</v>
      </c>
      <c r="H69" s="507">
        <f t="shared" si="0"/>
        <v>0.93592770771886413</v>
      </c>
    </row>
    <row r="70" spans="1:8" ht="26.25" customHeight="1" x14ac:dyDescent="0.45">
      <c r="A70" s="696" t="s">
        <v>78</v>
      </c>
      <c r="B70" s="697"/>
      <c r="C70" s="683"/>
      <c r="D70" s="686"/>
      <c r="E70" s="505">
        <v>3</v>
      </c>
      <c r="F70" s="459">
        <v>6453422</v>
      </c>
      <c r="G70" s="513">
        <f>IF(ISBLANK(F70),"-",(F70/$D$50*$D$47*$B$68)*($B$57/$D$68))</f>
        <v>55.738167444530276</v>
      </c>
      <c r="H70" s="507">
        <f t="shared" si="0"/>
        <v>0.92896945740883796</v>
      </c>
    </row>
    <row r="71" spans="1:8" ht="27" customHeight="1" thickBot="1" x14ac:dyDescent="0.5">
      <c r="A71" s="698"/>
      <c r="B71" s="699"/>
      <c r="C71" s="688"/>
      <c r="D71" s="687"/>
      <c r="E71" s="509">
        <v>4</v>
      </c>
      <c r="F71" s="510"/>
      <c r="G71" s="515" t="str">
        <f>IF(ISBLANK(F71),"-",(F71/$D$50*$D$47*$B$68)*($B$57/$D$68))</f>
        <v>-</v>
      </c>
      <c r="H71" s="519" t="str">
        <f t="shared" si="0"/>
        <v>-</v>
      </c>
    </row>
    <row r="72" spans="1:8" ht="26.25" customHeight="1" x14ac:dyDescent="0.45">
      <c r="A72" s="476"/>
      <c r="B72" s="476"/>
      <c r="C72" s="476"/>
      <c r="D72" s="476"/>
      <c r="E72" s="476"/>
      <c r="F72" s="520" t="s">
        <v>71</v>
      </c>
      <c r="G72" s="521">
        <f>AVERAGE(G60:G71)</f>
        <v>56.087400418820366</v>
      </c>
      <c r="H72" s="522">
        <f>AVERAGE(H60:H71)</f>
        <v>0.93479000698033965</v>
      </c>
    </row>
    <row r="73" spans="1:8" ht="26.25" customHeight="1" x14ac:dyDescent="0.45">
      <c r="C73" s="476"/>
      <c r="D73" s="476"/>
      <c r="E73" s="476"/>
      <c r="F73" s="523" t="s">
        <v>84</v>
      </c>
      <c r="G73" s="524">
        <f>STDEV(G60:G71)/G72</f>
        <v>7.311509414272754E-3</v>
      </c>
      <c r="H73" s="524">
        <f>STDEV(H60:H71)/H72</f>
        <v>7.3115094142727601E-3</v>
      </c>
    </row>
    <row r="74" spans="1:8" ht="27" customHeight="1" thickBot="1" x14ac:dyDescent="0.5">
      <c r="A74" s="476"/>
      <c r="B74" s="476"/>
      <c r="C74" s="476"/>
      <c r="D74" s="476"/>
      <c r="E74" s="478"/>
      <c r="F74" s="525" t="s">
        <v>20</v>
      </c>
      <c r="G74" s="526">
        <f>COUNT(G60:G71)</f>
        <v>9</v>
      </c>
      <c r="H74" s="526">
        <f>COUNT(H60:H71)</f>
        <v>9</v>
      </c>
    </row>
    <row r="76" spans="1:8" ht="26.25" customHeight="1" x14ac:dyDescent="0.45">
      <c r="A76" s="429" t="s">
        <v>106</v>
      </c>
      <c r="B76" s="430" t="s">
        <v>107</v>
      </c>
      <c r="C76" s="678" t="str">
        <f>B20</f>
        <v xml:space="preserve">Rifampicin, Isoniazid, Pyrazinamide 
</v>
      </c>
      <c r="D76" s="678"/>
      <c r="E76" s="419" t="s">
        <v>108</v>
      </c>
      <c r="F76" s="419"/>
      <c r="G76" s="527">
        <f>H72</f>
        <v>0.93479000698033965</v>
      </c>
      <c r="H76" s="435"/>
    </row>
    <row r="77" spans="1:8" ht="18" x14ac:dyDescent="0.35">
      <c r="A77" s="428" t="s">
        <v>109</v>
      </c>
      <c r="B77" s="428" t="s">
        <v>110</v>
      </c>
    </row>
    <row r="78" spans="1:8" ht="18" x14ac:dyDescent="0.35">
      <c r="A78" s="428"/>
      <c r="B78" s="428"/>
    </row>
    <row r="79" spans="1:8" ht="26.25" customHeight="1" x14ac:dyDescent="0.45">
      <c r="A79" s="429" t="s">
        <v>4</v>
      </c>
      <c r="B79" s="689" t="str">
        <f>B26</f>
        <v>Rifampicin</v>
      </c>
      <c r="C79" s="689"/>
    </row>
    <row r="80" spans="1:8" ht="26.25" customHeight="1" x14ac:dyDescent="0.45">
      <c r="A80" s="430" t="s">
        <v>48</v>
      </c>
      <c r="B80" s="689" t="str">
        <f>B27</f>
        <v>R5-1</v>
      </c>
      <c r="C80" s="689"/>
    </row>
    <row r="81" spans="1:12" ht="27" customHeight="1" thickBot="1" x14ac:dyDescent="0.5">
      <c r="A81" s="430" t="s">
        <v>6</v>
      </c>
      <c r="B81" s="431">
        <f>B28</f>
        <v>99.6</v>
      </c>
    </row>
    <row r="82" spans="1:12" s="433" customFormat="1" ht="27" customHeight="1" thickBot="1" x14ac:dyDescent="0.55000000000000004">
      <c r="A82" s="430" t="s">
        <v>49</v>
      </c>
      <c r="B82" s="432">
        <v>0</v>
      </c>
      <c r="C82" s="690" t="s">
        <v>50</v>
      </c>
      <c r="D82" s="691"/>
      <c r="E82" s="691"/>
      <c r="F82" s="691"/>
      <c r="G82" s="692"/>
      <c r="I82" s="434"/>
      <c r="J82" s="434"/>
      <c r="K82" s="434"/>
      <c r="L82" s="434"/>
    </row>
    <row r="83" spans="1:12" s="433" customFormat="1" ht="19.5" customHeight="1" thickBot="1" x14ac:dyDescent="0.4">
      <c r="A83" s="430" t="s">
        <v>51</v>
      </c>
      <c r="B83" s="435">
        <f>B81-B82</f>
        <v>99.6</v>
      </c>
      <c r="C83" s="436"/>
      <c r="D83" s="436"/>
      <c r="E83" s="436"/>
      <c r="F83" s="436"/>
      <c r="G83" s="437"/>
      <c r="I83" s="434"/>
      <c r="J83" s="434"/>
      <c r="K83" s="434"/>
      <c r="L83" s="434"/>
    </row>
    <row r="84" spans="1:12" s="433" customFormat="1" ht="27" customHeight="1" thickBot="1" x14ac:dyDescent="0.5">
      <c r="A84" s="430" t="s">
        <v>52</v>
      </c>
      <c r="B84" s="438">
        <v>1</v>
      </c>
      <c r="C84" s="693" t="s">
        <v>111</v>
      </c>
      <c r="D84" s="694"/>
      <c r="E84" s="694"/>
      <c r="F84" s="694"/>
      <c r="G84" s="694"/>
      <c r="H84" s="695"/>
      <c r="I84" s="434"/>
      <c r="J84" s="434"/>
      <c r="K84" s="434"/>
      <c r="L84" s="434"/>
    </row>
    <row r="85" spans="1:12" s="433" customFormat="1" ht="27" customHeight="1" thickBot="1" x14ac:dyDescent="0.5">
      <c r="A85" s="430" t="s">
        <v>54</v>
      </c>
      <c r="B85" s="438">
        <v>1</v>
      </c>
      <c r="C85" s="693" t="s">
        <v>112</v>
      </c>
      <c r="D85" s="694"/>
      <c r="E85" s="694"/>
      <c r="F85" s="694"/>
      <c r="G85" s="694"/>
      <c r="H85" s="695"/>
      <c r="I85" s="434"/>
      <c r="J85" s="434"/>
      <c r="K85" s="434"/>
      <c r="L85" s="434"/>
    </row>
    <row r="86" spans="1:12" s="433" customFormat="1" ht="18" x14ac:dyDescent="0.35">
      <c r="A86" s="430"/>
      <c r="B86" s="441"/>
      <c r="C86" s="442"/>
      <c r="D86" s="442"/>
      <c r="E86" s="442"/>
      <c r="F86" s="442"/>
      <c r="G86" s="442"/>
      <c r="H86" s="442"/>
      <c r="I86" s="434"/>
      <c r="J86" s="434"/>
      <c r="K86" s="434"/>
      <c r="L86" s="434"/>
    </row>
    <row r="87" spans="1:12" s="433" customFormat="1" ht="18" x14ac:dyDescent="0.35">
      <c r="A87" s="430" t="s">
        <v>56</v>
      </c>
      <c r="B87" s="443">
        <f>B84/B85</f>
        <v>1</v>
      </c>
      <c r="C87" s="419" t="s">
        <v>57</v>
      </c>
      <c r="D87" s="419"/>
      <c r="E87" s="419"/>
      <c r="F87" s="419"/>
      <c r="G87" s="419"/>
      <c r="I87" s="434"/>
      <c r="J87" s="434"/>
      <c r="K87" s="434"/>
      <c r="L87" s="434"/>
    </row>
    <row r="88" spans="1:12" ht="19.5" customHeight="1" thickBot="1" x14ac:dyDescent="0.4">
      <c r="A88" s="428"/>
      <c r="B88" s="428"/>
    </row>
    <row r="89" spans="1:12" ht="27" customHeight="1" thickBot="1" x14ac:dyDescent="0.5">
      <c r="A89" s="444" t="s">
        <v>58</v>
      </c>
      <c r="B89" s="445">
        <v>100</v>
      </c>
      <c r="D89" s="528" t="s">
        <v>59</v>
      </c>
      <c r="E89" s="529"/>
      <c r="F89" s="680" t="s">
        <v>60</v>
      </c>
      <c r="G89" s="681"/>
    </row>
    <row r="90" spans="1:12" ht="27" customHeight="1" thickBot="1" x14ac:dyDescent="0.5">
      <c r="A90" s="446" t="s">
        <v>61</v>
      </c>
      <c r="B90" s="447">
        <v>10</v>
      </c>
      <c r="C90" s="530" t="s">
        <v>62</v>
      </c>
      <c r="D90" s="449" t="s">
        <v>63</v>
      </c>
      <c r="E90" s="450" t="s">
        <v>64</v>
      </c>
      <c r="F90" s="449" t="s">
        <v>63</v>
      </c>
      <c r="G90" s="531" t="s">
        <v>64</v>
      </c>
      <c r="I90" s="452" t="s">
        <v>65</v>
      </c>
    </row>
    <row r="91" spans="1:12" ht="26.25" customHeight="1" x14ac:dyDescent="0.45">
      <c r="A91" s="446" t="s">
        <v>66</v>
      </c>
      <c r="B91" s="447">
        <v>25</v>
      </c>
      <c r="C91" s="532">
        <v>1</v>
      </c>
      <c r="D91" s="454">
        <v>2774292</v>
      </c>
      <c r="E91" s="455">
        <f>IF(ISBLANK(D91),"-",$D$101/$D$98*D91)</f>
        <v>2613958.0845906152</v>
      </c>
      <c r="F91" s="454">
        <v>2468936</v>
      </c>
      <c r="G91" s="456">
        <f>IF(ISBLANK(F91),"-",$D$101/$F$98*F91)</f>
        <v>2639884.3510356653</v>
      </c>
      <c r="I91" s="457"/>
    </row>
    <row r="92" spans="1:12" ht="26.25" customHeight="1" x14ac:dyDescent="0.45">
      <c r="A92" s="446" t="s">
        <v>67</v>
      </c>
      <c r="B92" s="447">
        <v>1</v>
      </c>
      <c r="C92" s="476">
        <v>2</v>
      </c>
      <c r="D92" s="459">
        <v>2774581</v>
      </c>
      <c r="E92" s="460">
        <f>IF(ISBLANK(D92),"-",$D$101/$D$98*D92)</f>
        <v>2614230.382490925</v>
      </c>
      <c r="F92" s="459">
        <v>2462497</v>
      </c>
      <c r="G92" s="461">
        <f>IF(ISBLANK(F92),"-",$D$101/$F$98*F92)</f>
        <v>2632999.516703662</v>
      </c>
      <c r="I92" s="671">
        <f>ABS((F96/D96*D95)-F95)/D95</f>
        <v>8.963898497979416E-3</v>
      </c>
    </row>
    <row r="93" spans="1:12" ht="26.25" customHeight="1" x14ac:dyDescent="0.45">
      <c r="A93" s="446" t="s">
        <v>68</v>
      </c>
      <c r="B93" s="447">
        <v>1</v>
      </c>
      <c r="C93" s="476">
        <v>3</v>
      </c>
      <c r="D93" s="459">
        <v>2756107</v>
      </c>
      <c r="E93" s="460">
        <f>IF(ISBLANK(D93),"-",$D$101/$D$98*D93)</f>
        <v>2596824.0454309736</v>
      </c>
      <c r="F93" s="459">
        <v>2461308</v>
      </c>
      <c r="G93" s="461">
        <f>IF(ISBLANK(F93),"-",$D$101/$F$98*F93)</f>
        <v>2631728.1907181442</v>
      </c>
      <c r="I93" s="671"/>
    </row>
    <row r="94" spans="1:12" ht="27" customHeight="1" thickBot="1" x14ac:dyDescent="0.5">
      <c r="A94" s="446" t="s">
        <v>69</v>
      </c>
      <c r="B94" s="447">
        <v>1</v>
      </c>
      <c r="C94" s="533">
        <v>4</v>
      </c>
      <c r="D94" s="463"/>
      <c r="E94" s="464" t="str">
        <f>IF(ISBLANK(D94),"-",$D$101/$D$98*D94)</f>
        <v>-</v>
      </c>
      <c r="F94" s="534"/>
      <c r="G94" s="465" t="str">
        <f>IF(ISBLANK(F94),"-",$D$101/$F$98*F94)</f>
        <v>-</v>
      </c>
      <c r="I94" s="466"/>
    </row>
    <row r="95" spans="1:12" ht="27" customHeight="1" thickBot="1" x14ac:dyDescent="0.5">
      <c r="A95" s="446" t="s">
        <v>70</v>
      </c>
      <c r="B95" s="447">
        <v>1</v>
      </c>
      <c r="C95" s="430" t="s">
        <v>71</v>
      </c>
      <c r="D95" s="535">
        <f>AVERAGE(D91:D94)</f>
        <v>2768326.6666666665</v>
      </c>
      <c r="E95" s="469">
        <f>AVERAGE(E91:E94)</f>
        <v>2608337.5041708383</v>
      </c>
      <c r="F95" s="536">
        <f>AVERAGE(F91:F94)</f>
        <v>2464247</v>
      </c>
      <c r="G95" s="537">
        <f>AVERAGE(G91:G94)</f>
        <v>2634870.6861524903</v>
      </c>
    </row>
    <row r="96" spans="1:12" ht="26.25" customHeight="1" x14ac:dyDescent="0.45">
      <c r="A96" s="446" t="s">
        <v>72</v>
      </c>
      <c r="B96" s="431">
        <v>1</v>
      </c>
      <c r="C96" s="538" t="s">
        <v>113</v>
      </c>
      <c r="D96" s="539">
        <v>17.760000000000002</v>
      </c>
      <c r="E96" s="419"/>
      <c r="F96" s="473">
        <v>15.65</v>
      </c>
    </row>
    <row r="97" spans="1:10" ht="26.25" customHeight="1" x14ac:dyDescent="0.45">
      <c r="A97" s="446" t="s">
        <v>74</v>
      </c>
      <c r="B97" s="431">
        <v>1</v>
      </c>
      <c r="C97" s="540" t="s">
        <v>114</v>
      </c>
      <c r="D97" s="541">
        <f>D96*$B$87</f>
        <v>17.760000000000002</v>
      </c>
      <c r="E97" s="476"/>
      <c r="F97" s="475">
        <f>F96*$B$87</f>
        <v>15.65</v>
      </c>
    </row>
    <row r="98" spans="1:10" ht="19.5" customHeight="1" thickBot="1" x14ac:dyDescent="0.4">
      <c r="A98" s="446" t="s">
        <v>76</v>
      </c>
      <c r="B98" s="476">
        <f>(B97/B96)*(B95/B94)*(B93/B92)*(B91/B90)*B89</f>
        <v>250</v>
      </c>
      <c r="C98" s="540" t="s">
        <v>115</v>
      </c>
      <c r="D98" s="542">
        <f>D97*$B$83/100</f>
        <v>17.688959999999998</v>
      </c>
      <c r="E98" s="478"/>
      <c r="F98" s="477">
        <f>F97*$B$83/100</f>
        <v>15.587400000000001</v>
      </c>
    </row>
    <row r="99" spans="1:10" ht="19.5" customHeight="1" thickBot="1" x14ac:dyDescent="0.4">
      <c r="A99" s="672" t="s">
        <v>78</v>
      </c>
      <c r="B99" s="673"/>
      <c r="C99" s="540" t="s">
        <v>116</v>
      </c>
      <c r="D99" s="543">
        <f>D98/$B$98</f>
        <v>7.0755839999999987E-2</v>
      </c>
      <c r="E99" s="478"/>
      <c r="F99" s="481">
        <f>F98/$B$98</f>
        <v>6.2349600000000005E-2</v>
      </c>
      <c r="H99" s="471"/>
    </row>
    <row r="100" spans="1:10" ht="19.5" customHeight="1" thickBot="1" x14ac:dyDescent="0.4">
      <c r="A100" s="674"/>
      <c r="B100" s="675"/>
      <c r="C100" s="540" t="s">
        <v>80</v>
      </c>
      <c r="D100" s="544">
        <f>$B$56/$B$116</f>
        <v>6.6666666666666666E-2</v>
      </c>
      <c r="F100" s="486"/>
      <c r="G100" s="545"/>
      <c r="H100" s="471"/>
    </row>
    <row r="101" spans="1:10" ht="18" x14ac:dyDescent="0.35">
      <c r="C101" s="540" t="s">
        <v>81</v>
      </c>
      <c r="D101" s="541">
        <f>D100*$B$98</f>
        <v>16.666666666666668</v>
      </c>
      <c r="F101" s="486"/>
      <c r="H101" s="471"/>
    </row>
    <row r="102" spans="1:10" ht="19.5" customHeight="1" thickBot="1" x14ac:dyDescent="0.4">
      <c r="C102" s="546" t="s">
        <v>82</v>
      </c>
      <c r="D102" s="547">
        <f>D101/B34</f>
        <v>16.666666666666668</v>
      </c>
      <c r="F102" s="490"/>
      <c r="H102" s="471"/>
      <c r="J102" s="548"/>
    </row>
    <row r="103" spans="1:10" ht="18" x14ac:dyDescent="0.35">
      <c r="C103" s="549" t="s">
        <v>117</v>
      </c>
      <c r="D103" s="550">
        <f>AVERAGE(E91:E94,G91:G94)</f>
        <v>2621604.0951616643</v>
      </c>
      <c r="F103" s="490"/>
      <c r="G103" s="545"/>
      <c r="H103" s="471"/>
      <c r="J103" s="551"/>
    </row>
    <row r="104" spans="1:10" ht="18" x14ac:dyDescent="0.35">
      <c r="C104" s="523" t="s">
        <v>84</v>
      </c>
      <c r="D104" s="552">
        <f>STDEV(E91:E94,G91:G94)/D103</f>
        <v>6.1350075969387541E-3</v>
      </c>
      <c r="F104" s="490"/>
      <c r="H104" s="471"/>
      <c r="J104" s="551"/>
    </row>
    <row r="105" spans="1:10" ht="19.5" customHeight="1" thickBot="1" x14ac:dyDescent="0.4">
      <c r="C105" s="525" t="s">
        <v>20</v>
      </c>
      <c r="D105" s="553">
        <f>COUNT(E91:E94,G91:G94)</f>
        <v>6</v>
      </c>
      <c r="F105" s="490"/>
      <c r="H105" s="471"/>
      <c r="J105" s="551"/>
    </row>
    <row r="106" spans="1:10" ht="19.5" customHeight="1" thickBot="1" x14ac:dyDescent="0.4">
      <c r="A106" s="494"/>
      <c r="B106" s="494"/>
      <c r="C106" s="494"/>
      <c r="D106" s="494"/>
      <c r="E106" s="494"/>
    </row>
    <row r="107" spans="1:10" ht="26.25" customHeight="1" x14ac:dyDescent="0.45">
      <c r="A107" s="444" t="s">
        <v>118</v>
      </c>
      <c r="B107" s="445">
        <v>900</v>
      </c>
      <c r="C107" s="528" t="s">
        <v>145</v>
      </c>
      <c r="D107" s="554" t="s">
        <v>63</v>
      </c>
      <c r="E107" s="555" t="s">
        <v>120</v>
      </c>
      <c r="F107" s="556" t="s">
        <v>121</v>
      </c>
    </row>
    <row r="108" spans="1:10" ht="26.25" customHeight="1" x14ac:dyDescent="0.45">
      <c r="A108" s="446" t="s">
        <v>122</v>
      </c>
      <c r="B108" s="447">
        <v>1</v>
      </c>
      <c r="C108" s="557">
        <v>1</v>
      </c>
      <c r="D108" s="558">
        <v>2579198</v>
      </c>
      <c r="E108" s="559">
        <f t="shared" ref="E108:E113" si="1">IF(ISBLANK(D108),"-",D108/$D$103*$D$100*$B$116)</f>
        <v>59.029462261523143</v>
      </c>
      <c r="F108" s="560">
        <f t="shared" ref="F108:F113" si="2">IF(ISBLANK(D108), "-", E108/$B$56)</f>
        <v>0.98382437102538567</v>
      </c>
    </row>
    <row r="109" spans="1:10" ht="26.25" customHeight="1" x14ac:dyDescent="0.45">
      <c r="A109" s="446" t="s">
        <v>95</v>
      </c>
      <c r="B109" s="447">
        <v>1</v>
      </c>
      <c r="C109" s="557">
        <v>2</v>
      </c>
      <c r="D109" s="558">
        <v>2460245</v>
      </c>
      <c r="E109" s="561">
        <f t="shared" si="1"/>
        <v>56.307014576469506</v>
      </c>
      <c r="F109" s="562">
        <f t="shared" si="2"/>
        <v>0.93845024294115842</v>
      </c>
    </row>
    <row r="110" spans="1:10" ht="26.25" customHeight="1" x14ac:dyDescent="0.45">
      <c r="A110" s="446" t="s">
        <v>96</v>
      </c>
      <c r="B110" s="447">
        <v>1</v>
      </c>
      <c r="C110" s="557">
        <v>3</v>
      </c>
      <c r="D110" s="558">
        <v>2580939</v>
      </c>
      <c r="E110" s="561">
        <f t="shared" si="1"/>
        <v>59.069308094916821</v>
      </c>
      <c r="F110" s="562">
        <f t="shared" si="2"/>
        <v>0.98448846824861369</v>
      </c>
    </row>
    <row r="111" spans="1:10" ht="26.25" customHeight="1" x14ac:dyDescent="0.45">
      <c r="A111" s="446" t="s">
        <v>97</v>
      </c>
      <c r="B111" s="447">
        <v>1</v>
      </c>
      <c r="C111" s="557">
        <v>4</v>
      </c>
      <c r="D111" s="558">
        <v>2528951</v>
      </c>
      <c r="E111" s="561">
        <f t="shared" si="1"/>
        <v>57.879471686834911</v>
      </c>
      <c r="F111" s="562">
        <f t="shared" si="2"/>
        <v>0.96465786144724852</v>
      </c>
    </row>
    <row r="112" spans="1:10" ht="26.25" customHeight="1" x14ac:dyDescent="0.45">
      <c r="A112" s="446" t="s">
        <v>98</v>
      </c>
      <c r="B112" s="447">
        <v>1</v>
      </c>
      <c r="C112" s="557">
        <v>5</v>
      </c>
      <c r="D112" s="558">
        <v>2561631</v>
      </c>
      <c r="E112" s="561">
        <f t="shared" si="1"/>
        <v>58.627410707688121</v>
      </c>
      <c r="F112" s="562">
        <f t="shared" si="2"/>
        <v>0.97712351179480206</v>
      </c>
    </row>
    <row r="113" spans="1:10" ht="26.25" customHeight="1" x14ac:dyDescent="0.45">
      <c r="A113" s="446" t="s">
        <v>100</v>
      </c>
      <c r="B113" s="447">
        <v>1</v>
      </c>
      <c r="C113" s="563">
        <v>6</v>
      </c>
      <c r="D113" s="564">
        <v>2400137</v>
      </c>
      <c r="E113" s="565">
        <f t="shared" si="1"/>
        <v>54.931337750721489</v>
      </c>
      <c r="F113" s="566">
        <f t="shared" si="2"/>
        <v>0.91552229584535816</v>
      </c>
    </row>
    <row r="114" spans="1:10" ht="26.25" customHeight="1" x14ac:dyDescent="0.45">
      <c r="A114" s="446" t="s">
        <v>101</v>
      </c>
      <c r="B114" s="447">
        <v>1</v>
      </c>
      <c r="C114" s="557"/>
      <c r="D114" s="476"/>
      <c r="E114" s="419"/>
      <c r="F114" s="567"/>
    </row>
    <row r="115" spans="1:10" ht="26.25" customHeight="1" x14ac:dyDescent="0.45">
      <c r="A115" s="446" t="s">
        <v>102</v>
      </c>
      <c r="B115" s="447">
        <v>1</v>
      </c>
      <c r="C115" s="557"/>
      <c r="D115" s="568" t="s">
        <v>71</v>
      </c>
      <c r="E115" s="569">
        <f>AVERAGE(E108:E113)</f>
        <v>57.640667513025655</v>
      </c>
      <c r="F115" s="570">
        <f>AVERAGE(F108:F113)</f>
        <v>0.96067779188376112</v>
      </c>
    </row>
    <row r="116" spans="1:10" ht="27" customHeight="1" thickBot="1" x14ac:dyDescent="0.5">
      <c r="A116" s="446" t="s">
        <v>103</v>
      </c>
      <c r="B116" s="458">
        <f>(B115/B114)*(B113/B112)*(B111/B110)*(B109/B108)*B107</f>
        <v>900</v>
      </c>
      <c r="C116" s="571"/>
      <c r="D116" s="430" t="s">
        <v>84</v>
      </c>
      <c r="E116" s="572">
        <f>STDEV(E108:E113)/E115</f>
        <v>2.9153886499120936E-2</v>
      </c>
      <c r="F116" s="572">
        <f>STDEV(F108:F113)/F115</f>
        <v>2.9153886499120929E-2</v>
      </c>
      <c r="I116" s="419"/>
    </row>
    <row r="117" spans="1:10" ht="27" customHeight="1" thickBot="1" x14ac:dyDescent="0.5">
      <c r="A117" s="672" t="s">
        <v>78</v>
      </c>
      <c r="B117" s="676"/>
      <c r="C117" s="573"/>
      <c r="D117" s="574" t="s">
        <v>20</v>
      </c>
      <c r="E117" s="575">
        <f>COUNT(E108:E113)</f>
        <v>6</v>
      </c>
      <c r="F117" s="575">
        <f>COUNT(F108:F113)</f>
        <v>6</v>
      </c>
      <c r="I117" s="419"/>
      <c r="J117" s="551"/>
    </row>
    <row r="118" spans="1:10" ht="19.5" customHeight="1" thickBot="1" x14ac:dyDescent="0.4">
      <c r="A118" s="674"/>
      <c r="B118" s="677"/>
      <c r="C118" s="419"/>
      <c r="D118" s="419"/>
      <c r="E118" s="419"/>
      <c r="F118" s="476"/>
      <c r="G118" s="419"/>
      <c r="H118" s="419"/>
      <c r="I118" s="419"/>
    </row>
    <row r="119" spans="1:10" ht="18" x14ac:dyDescent="0.35">
      <c r="A119" s="576"/>
      <c r="B119" s="442"/>
      <c r="C119" s="419"/>
      <c r="D119" s="419"/>
      <c r="E119" s="419"/>
      <c r="F119" s="476"/>
      <c r="G119" s="419"/>
      <c r="H119" s="419"/>
      <c r="I119" s="419"/>
    </row>
    <row r="120" spans="1:10" ht="26.25" customHeight="1" x14ac:dyDescent="0.45">
      <c r="A120" s="429" t="s">
        <v>106</v>
      </c>
      <c r="B120" s="430" t="s">
        <v>123</v>
      </c>
      <c r="C120" s="678" t="str">
        <f>B20</f>
        <v xml:space="preserve">Rifampicin, Isoniazid, Pyrazinamide 
</v>
      </c>
      <c r="D120" s="678"/>
      <c r="E120" s="419" t="s">
        <v>124</v>
      </c>
      <c r="F120" s="419"/>
      <c r="G120" s="527">
        <f>F115</f>
        <v>0.96067779188376112</v>
      </c>
      <c r="H120" s="419"/>
      <c r="I120" s="419"/>
    </row>
    <row r="121" spans="1:10" ht="19.5" customHeight="1" thickBot="1" x14ac:dyDescent="0.4">
      <c r="A121" s="577"/>
      <c r="B121" s="577"/>
      <c r="C121" s="578"/>
      <c r="D121" s="578"/>
      <c r="E121" s="578"/>
      <c r="F121" s="578"/>
      <c r="G121" s="578"/>
      <c r="H121" s="578"/>
    </row>
    <row r="122" spans="1:10" ht="18" x14ac:dyDescent="0.35">
      <c r="B122" s="679" t="s">
        <v>26</v>
      </c>
      <c r="C122" s="679"/>
      <c r="E122" s="530" t="s">
        <v>27</v>
      </c>
      <c r="F122" s="579"/>
      <c r="G122" s="679" t="s">
        <v>28</v>
      </c>
      <c r="H122" s="679"/>
    </row>
    <row r="123" spans="1:10" ht="69.900000000000006" customHeight="1" x14ac:dyDescent="0.35">
      <c r="A123" s="429" t="s">
        <v>29</v>
      </c>
      <c r="B123" s="580"/>
      <c r="C123" s="580"/>
      <c r="E123" s="580"/>
      <c r="F123" s="419"/>
      <c r="G123" s="580"/>
      <c r="H123" s="580"/>
    </row>
    <row r="124" spans="1:10" ht="69.900000000000006" customHeight="1" x14ac:dyDescent="0.35">
      <c r="A124" s="429" t="s">
        <v>30</v>
      </c>
      <c r="B124" s="581"/>
      <c r="C124" s="581"/>
      <c r="E124" s="581"/>
      <c r="F124" s="419"/>
      <c r="G124" s="582"/>
      <c r="H124" s="582"/>
    </row>
    <row r="125" spans="1:10" ht="18" x14ac:dyDescent="0.35">
      <c r="A125" s="476"/>
      <c r="B125" s="476"/>
      <c r="C125" s="476"/>
      <c r="D125" s="476"/>
      <c r="E125" s="476"/>
      <c r="F125" s="478"/>
      <c r="G125" s="476"/>
      <c r="H125" s="476"/>
      <c r="I125" s="419"/>
    </row>
    <row r="126" spans="1:10" ht="18" x14ac:dyDescent="0.35">
      <c r="A126" s="476"/>
      <c r="B126" s="476"/>
      <c r="C126" s="476"/>
      <c r="D126" s="476"/>
      <c r="E126" s="476"/>
      <c r="F126" s="478"/>
      <c r="G126" s="476"/>
      <c r="H126" s="476"/>
      <c r="I126" s="419"/>
    </row>
    <row r="127" spans="1:10" ht="18" x14ac:dyDescent="0.35">
      <c r="A127" s="476"/>
      <c r="B127" s="476"/>
      <c r="C127" s="476"/>
      <c r="D127" s="476"/>
      <c r="E127" s="476"/>
      <c r="F127" s="478"/>
      <c r="G127" s="476"/>
      <c r="H127" s="476"/>
      <c r="I127" s="419"/>
    </row>
    <row r="128" spans="1:10" ht="18" x14ac:dyDescent="0.35">
      <c r="A128" s="476"/>
      <c r="B128" s="476"/>
      <c r="C128" s="476"/>
      <c r="D128" s="476"/>
      <c r="E128" s="476"/>
      <c r="F128" s="478"/>
      <c r="G128" s="476"/>
      <c r="H128" s="476"/>
      <c r="I128" s="419"/>
    </row>
    <row r="129" spans="1:9" ht="18" x14ac:dyDescent="0.35">
      <c r="A129" s="476"/>
      <c r="B129" s="476"/>
      <c r="C129" s="476"/>
      <c r="D129" s="476"/>
      <c r="E129" s="476"/>
      <c r="F129" s="478"/>
      <c r="G129" s="476"/>
      <c r="H129" s="476"/>
      <c r="I129" s="419"/>
    </row>
    <row r="130" spans="1:9" ht="18" x14ac:dyDescent="0.35">
      <c r="A130" s="476"/>
      <c r="B130" s="476"/>
      <c r="C130" s="476"/>
      <c r="D130" s="476"/>
      <c r="E130" s="476"/>
      <c r="F130" s="478"/>
      <c r="G130" s="476"/>
      <c r="H130" s="476"/>
      <c r="I130" s="419"/>
    </row>
    <row r="131" spans="1:9" ht="18" x14ac:dyDescent="0.35">
      <c r="A131" s="476"/>
      <c r="B131" s="476"/>
      <c r="C131" s="476"/>
      <c r="D131" s="476"/>
      <c r="E131" s="476"/>
      <c r="F131" s="478"/>
      <c r="G131" s="476"/>
      <c r="H131" s="476"/>
      <c r="I131" s="419"/>
    </row>
    <row r="132" spans="1:9" ht="18" x14ac:dyDescent="0.35">
      <c r="A132" s="476"/>
      <c r="B132" s="476"/>
      <c r="C132" s="476"/>
      <c r="D132" s="476"/>
      <c r="E132" s="476"/>
      <c r="F132" s="478"/>
      <c r="G132" s="476"/>
      <c r="H132" s="476"/>
      <c r="I132" s="419"/>
    </row>
    <row r="133" spans="1:9" ht="18" x14ac:dyDescent="0.35">
      <c r="A133" s="476"/>
      <c r="B133" s="476"/>
      <c r="C133" s="476"/>
      <c r="D133" s="476"/>
      <c r="E133" s="476"/>
      <c r="F133" s="478"/>
      <c r="G133" s="476"/>
      <c r="H133" s="476"/>
      <c r="I133" s="419"/>
    </row>
    <row r="250" spans="1:1" x14ac:dyDescent="0.3">
      <c r="A250" s="418">
        <v>5</v>
      </c>
    </row>
  </sheetData>
  <sheetProtection formatColumns="0" formatRows="0" insertColumns="0" insertHyperlinks="0" deleteColumns="0" deleteRows="0" autoFilter="0" pivotTables="0"/>
  <mergeCells count="35">
    <mergeCell ref="C32:H32"/>
    <mergeCell ref="A1:I7"/>
    <mergeCell ref="A8:I14"/>
    <mergeCell ref="A16:H16"/>
    <mergeCell ref="A17:H17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ISONIAZID</vt:lpstr>
      <vt:lpstr>SST PYRAZINAMIDE</vt:lpstr>
      <vt:lpstr>SST RIFAMPICIN</vt:lpstr>
      <vt:lpstr>Uniformity</vt:lpstr>
      <vt:lpstr>Isoniazid</vt:lpstr>
      <vt:lpstr>Pyrazinamide</vt:lpstr>
      <vt:lpstr>Rifampin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2016-06-22T14:28:19Z</dcterms:modified>
</cp:coreProperties>
</file>