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90" yWindow="525" windowWidth="20730" windowHeight="11445" activeTab="6"/>
  </bookViews>
  <sheets>
    <sheet name="SST ISONIAZID" sheetId="9" r:id="rId1"/>
    <sheet name="SST PYRAZINAMIDE" sheetId="10" r:id="rId2"/>
    <sheet name="SST RIFAMPICIN" sheetId="11" r:id="rId3"/>
    <sheet name="Uniformity" sheetId="2" r:id="rId4"/>
    <sheet name="Isoniazid" sheetId="12" r:id="rId5"/>
    <sheet name="Pyrazinamide" sheetId="13" r:id="rId6"/>
    <sheet name="Rifampin" sheetId="14" r:id="rId7"/>
  </sheets>
  <definedNames>
    <definedName name="_xlnm.Print_Area" localSheetId="3">Uniformity!$A$1:$F$54</definedName>
  </definedNames>
  <calcPr calcId="145621"/>
</workbook>
</file>

<file path=xl/calcChain.xml><?xml version="1.0" encoding="utf-8"?>
<calcChain xmlns="http://schemas.openxmlformats.org/spreadsheetml/2006/main">
  <c r="C120" i="14" l="1"/>
  <c r="B116" i="14"/>
  <c r="D100" i="14" s="1"/>
  <c r="B98" i="14"/>
  <c r="F95" i="14"/>
  <c r="D95" i="14"/>
  <c r="G94" i="14"/>
  <c r="E94" i="14"/>
  <c r="B87" i="14"/>
  <c r="F97" i="14" s="1"/>
  <c r="B81" i="14"/>
  <c r="B83" i="14" s="1"/>
  <c r="B80" i="14"/>
  <c r="B79" i="14"/>
  <c r="C76" i="14"/>
  <c r="B68" i="14"/>
  <c r="C56" i="14"/>
  <c r="B55" i="14"/>
  <c r="D48" i="14"/>
  <c r="B45" i="14"/>
  <c r="F44" i="14"/>
  <c r="D44" i="14"/>
  <c r="F42" i="14"/>
  <c r="D42" i="14"/>
  <c r="G41" i="14"/>
  <c r="E41" i="14"/>
  <c r="I39" i="14"/>
  <c r="B34" i="14"/>
  <c r="B30" i="14"/>
  <c r="C120" i="13"/>
  <c r="B116" i="13"/>
  <c r="D100" i="13" s="1"/>
  <c r="D101" i="13" s="1"/>
  <c r="D102" i="13" s="1"/>
  <c r="B98" i="13"/>
  <c r="F95" i="13"/>
  <c r="D95" i="13"/>
  <c r="G94" i="13"/>
  <c r="E94" i="13"/>
  <c r="B87" i="13"/>
  <c r="F97" i="13" s="1"/>
  <c r="F98" i="13" s="1"/>
  <c r="B81" i="13"/>
  <c r="B83" i="13" s="1"/>
  <c r="B80" i="13"/>
  <c r="B79" i="13"/>
  <c r="C76" i="13"/>
  <c r="B68" i="13"/>
  <c r="C56" i="13"/>
  <c r="B55" i="13"/>
  <c r="D48" i="13"/>
  <c r="B45" i="13"/>
  <c r="F42" i="13"/>
  <c r="D42" i="13"/>
  <c r="G41" i="13"/>
  <c r="E41" i="13"/>
  <c r="I39" i="13"/>
  <c r="B34" i="13"/>
  <c r="D44" i="13" s="1"/>
  <c r="D45" i="13" s="1"/>
  <c r="B30" i="13"/>
  <c r="C120" i="12"/>
  <c r="B116" i="12"/>
  <c r="D100" i="12" s="1"/>
  <c r="B98" i="12"/>
  <c r="F95" i="12"/>
  <c r="D95" i="12"/>
  <c r="I92" i="12" s="1"/>
  <c r="G94" i="12"/>
  <c r="E94" i="12"/>
  <c r="B87" i="12"/>
  <c r="F97" i="12" s="1"/>
  <c r="B81" i="12"/>
  <c r="B83" i="12" s="1"/>
  <c r="B80" i="12"/>
  <c r="B79" i="12"/>
  <c r="C76" i="12"/>
  <c r="B68" i="12"/>
  <c r="C56" i="12"/>
  <c r="B55" i="12"/>
  <c r="B45" i="12"/>
  <c r="D48" i="12" s="1"/>
  <c r="F42" i="12"/>
  <c r="I39" i="12" s="1"/>
  <c r="D42" i="12"/>
  <c r="G41" i="12"/>
  <c r="E41" i="12"/>
  <c r="B34" i="12"/>
  <c r="D44" i="12" s="1"/>
  <c r="D45" i="12" s="1"/>
  <c r="D46" i="12" s="1"/>
  <c r="B30" i="12"/>
  <c r="B53" i="11"/>
  <c r="E51" i="11"/>
  <c r="D51" i="11"/>
  <c r="C51" i="11"/>
  <c r="B51" i="11"/>
  <c r="B52" i="11" s="1"/>
  <c r="B32" i="11"/>
  <c r="E30" i="11"/>
  <c r="D30" i="11"/>
  <c r="C30" i="11"/>
  <c r="B30" i="11"/>
  <c r="B31" i="11" s="1"/>
  <c r="B53" i="10"/>
  <c r="E51" i="10"/>
  <c r="D51" i="10"/>
  <c r="C51" i="10"/>
  <c r="B51" i="10"/>
  <c r="B52" i="10" s="1"/>
  <c r="B32" i="10"/>
  <c r="E30" i="10"/>
  <c r="D30" i="10"/>
  <c r="C30" i="10"/>
  <c r="B30" i="10"/>
  <c r="B31" i="10" s="1"/>
  <c r="B53" i="9"/>
  <c r="E51" i="9"/>
  <c r="D51" i="9"/>
  <c r="C51" i="9"/>
  <c r="B51" i="9"/>
  <c r="B52" i="9" s="1"/>
  <c r="B32" i="9"/>
  <c r="E30" i="9"/>
  <c r="D30" i="9"/>
  <c r="C30" i="9"/>
  <c r="B30" i="9"/>
  <c r="B31" i="9" s="1"/>
  <c r="C46" i="2"/>
  <c r="C45" i="2"/>
  <c r="D40" i="2"/>
  <c r="D35" i="2"/>
  <c r="D29" i="2"/>
  <c r="D24" i="2"/>
  <c r="C19" i="2"/>
  <c r="D101" i="14" l="1"/>
  <c r="F44" i="13"/>
  <c r="F45" i="13" s="1"/>
  <c r="D45" i="14"/>
  <c r="F45" i="14"/>
  <c r="C50" i="2"/>
  <c r="B57" i="14"/>
  <c r="B57" i="13"/>
  <c r="B57" i="12"/>
  <c r="B69" i="12" s="1"/>
  <c r="D101" i="12"/>
  <c r="I92" i="13"/>
  <c r="I92" i="14"/>
  <c r="D49" i="13"/>
  <c r="D49" i="14"/>
  <c r="B69" i="13"/>
  <c r="B69" i="14"/>
  <c r="F98" i="14"/>
  <c r="F99" i="14" s="1"/>
  <c r="E38" i="14"/>
  <c r="D46" i="14"/>
  <c r="E39" i="14"/>
  <c r="G40" i="14"/>
  <c r="F46" i="14"/>
  <c r="D102" i="14"/>
  <c r="G93" i="14"/>
  <c r="G91" i="14"/>
  <c r="G92" i="14"/>
  <c r="G39" i="14"/>
  <c r="D97" i="14"/>
  <c r="D98" i="14" s="1"/>
  <c r="D99" i="14" s="1"/>
  <c r="G38" i="14"/>
  <c r="G42" i="14" s="1"/>
  <c r="E40" i="14"/>
  <c r="G91" i="13"/>
  <c r="F99" i="13"/>
  <c r="G92" i="13"/>
  <c r="F46" i="13"/>
  <c r="G40" i="13"/>
  <c r="E38" i="13"/>
  <c r="D46" i="13"/>
  <c r="E39" i="13"/>
  <c r="G39" i="13"/>
  <c r="D97" i="13"/>
  <c r="D98" i="13" s="1"/>
  <c r="E91" i="13" s="1"/>
  <c r="G38" i="13"/>
  <c r="E40" i="13"/>
  <c r="G93" i="13"/>
  <c r="F98" i="12"/>
  <c r="F99" i="12" s="1"/>
  <c r="D102" i="12"/>
  <c r="G93" i="12"/>
  <c r="G91" i="12"/>
  <c r="D49" i="12"/>
  <c r="E40" i="12"/>
  <c r="G38" i="12"/>
  <c r="E38" i="12"/>
  <c r="E39" i="12"/>
  <c r="F44" i="12"/>
  <c r="F45" i="12" s="1"/>
  <c r="F46" i="12" s="1"/>
  <c r="D97" i="12"/>
  <c r="D98" i="12" s="1"/>
  <c r="D99" i="12" s="1"/>
  <c r="D25" i="2"/>
  <c r="D36" i="2"/>
  <c r="D41" i="2"/>
  <c r="D27" i="2"/>
  <c r="D32" i="2"/>
  <c r="D37" i="2"/>
  <c r="D43" i="2"/>
  <c r="D49" i="2"/>
  <c r="D28" i="2"/>
  <c r="D33" i="2"/>
  <c r="D39" i="2"/>
  <c r="D50" i="2"/>
  <c r="B49" i="2"/>
  <c r="D42" i="2"/>
  <c r="D38" i="2"/>
  <c r="D34" i="2"/>
  <c r="D30" i="2"/>
  <c r="D26" i="2"/>
  <c r="D31" i="2"/>
  <c r="C49" i="2"/>
  <c r="G39" i="12" l="1"/>
  <c r="G95" i="13"/>
  <c r="E91" i="12"/>
  <c r="G42" i="12"/>
  <c r="G40" i="12"/>
  <c r="E92" i="13"/>
  <c r="E93" i="14"/>
  <c r="G95" i="14"/>
  <c r="D52" i="14"/>
  <c r="D50" i="14"/>
  <c r="E42" i="14"/>
  <c r="E91" i="14"/>
  <c r="E92" i="14"/>
  <c r="G42" i="13"/>
  <c r="D99" i="13"/>
  <c r="E93" i="13"/>
  <c r="E95" i="13" s="1"/>
  <c r="D52" i="13"/>
  <c r="D50" i="13"/>
  <c r="E42" i="13"/>
  <c r="D103" i="12"/>
  <c r="E93" i="12"/>
  <c r="D52" i="12"/>
  <c r="D50" i="12"/>
  <c r="E42" i="12"/>
  <c r="G92" i="12"/>
  <c r="G95" i="12" s="1"/>
  <c r="E92" i="12"/>
  <c r="E95" i="12" s="1"/>
  <c r="G68" i="14" l="1"/>
  <c r="H68" i="14" s="1"/>
  <c r="G65" i="14"/>
  <c r="H65" i="14" s="1"/>
  <c r="G71" i="14"/>
  <c r="H71" i="14" s="1"/>
  <c r="G69" i="14"/>
  <c r="H69" i="14" s="1"/>
  <c r="G66" i="14"/>
  <c r="H66" i="14" s="1"/>
  <c r="G64" i="14"/>
  <c r="H64" i="14" s="1"/>
  <c r="G62" i="14"/>
  <c r="H62" i="14" s="1"/>
  <c r="G60" i="14"/>
  <c r="G63" i="14"/>
  <c r="H63" i="14" s="1"/>
  <c r="D51" i="14"/>
  <c r="G70" i="14"/>
  <c r="H70" i="14" s="1"/>
  <c r="G67" i="14"/>
  <c r="H67" i="14" s="1"/>
  <c r="G61" i="14"/>
  <c r="H61" i="14" s="1"/>
  <c r="E95" i="14"/>
  <c r="D105" i="14"/>
  <c r="D103" i="14"/>
  <c r="D105" i="13"/>
  <c r="G68" i="13"/>
  <c r="H68" i="13" s="1"/>
  <c r="G71" i="13"/>
  <c r="H71" i="13" s="1"/>
  <c r="G69" i="13"/>
  <c r="H69" i="13" s="1"/>
  <c r="G66" i="13"/>
  <c r="H66" i="13" s="1"/>
  <c r="G64" i="13"/>
  <c r="H64" i="13" s="1"/>
  <c r="G62" i="13"/>
  <c r="H62" i="13" s="1"/>
  <c r="G60" i="13"/>
  <c r="D51" i="13"/>
  <c r="G70" i="13"/>
  <c r="H70" i="13" s="1"/>
  <c r="G67" i="13"/>
  <c r="H67" i="13" s="1"/>
  <c r="G65" i="13"/>
  <c r="H65" i="13" s="1"/>
  <c r="G63" i="13"/>
  <c r="H63" i="13" s="1"/>
  <c r="G61" i="13"/>
  <c r="H61" i="13" s="1"/>
  <c r="D103" i="13"/>
  <c r="G68" i="12"/>
  <c r="H68" i="12" s="1"/>
  <c r="G71" i="12"/>
  <c r="H71" i="12" s="1"/>
  <c r="G69" i="12"/>
  <c r="H69" i="12" s="1"/>
  <c r="G66" i="12"/>
  <c r="H66" i="12" s="1"/>
  <c r="G64" i="12"/>
  <c r="H64" i="12" s="1"/>
  <c r="G62" i="12"/>
  <c r="H62" i="12" s="1"/>
  <c r="G60" i="12"/>
  <c r="D51" i="12"/>
  <c r="G70" i="12"/>
  <c r="H70" i="12" s="1"/>
  <c r="G67" i="12"/>
  <c r="H67" i="12" s="1"/>
  <c r="G65" i="12"/>
  <c r="H65" i="12" s="1"/>
  <c r="G63" i="12"/>
  <c r="H63" i="12" s="1"/>
  <c r="G61" i="12"/>
  <c r="H61" i="12" s="1"/>
  <c r="E112" i="12"/>
  <c r="F112" i="12" s="1"/>
  <c r="E110" i="12"/>
  <c r="F110" i="12" s="1"/>
  <c r="E108" i="12"/>
  <c r="E113" i="12"/>
  <c r="F113" i="12" s="1"/>
  <c r="E111" i="12"/>
  <c r="F111" i="12" s="1"/>
  <c r="E109" i="12"/>
  <c r="F109" i="12" s="1"/>
  <c r="D104" i="12"/>
  <c r="D105" i="12"/>
  <c r="E112" i="14" l="1"/>
  <c r="F112" i="14" s="1"/>
  <c r="E110" i="14"/>
  <c r="F110" i="14" s="1"/>
  <c r="E108" i="14"/>
  <c r="E113" i="14"/>
  <c r="F113" i="14" s="1"/>
  <c r="E111" i="14"/>
  <c r="F111" i="14" s="1"/>
  <c r="E109" i="14"/>
  <c r="F109" i="14" s="1"/>
  <c r="D104" i="14"/>
  <c r="H60" i="14"/>
  <c r="G72" i="14"/>
  <c r="G73" i="14" s="1"/>
  <c r="G74" i="14"/>
  <c r="H60" i="13"/>
  <c r="G74" i="13"/>
  <c r="G72" i="13"/>
  <c r="G73" i="13" s="1"/>
  <c r="E112" i="13"/>
  <c r="F112" i="13" s="1"/>
  <c r="E110" i="13"/>
  <c r="F110" i="13" s="1"/>
  <c r="E108" i="13"/>
  <c r="E113" i="13"/>
  <c r="F113" i="13" s="1"/>
  <c r="E111" i="13"/>
  <c r="F111" i="13" s="1"/>
  <c r="E109" i="13"/>
  <c r="F109" i="13" s="1"/>
  <c r="D104" i="13"/>
  <c r="H60" i="12"/>
  <c r="G74" i="12"/>
  <c r="G72" i="12"/>
  <c r="G73" i="12" s="1"/>
  <c r="E115" i="12"/>
  <c r="E116" i="12" s="1"/>
  <c r="E117" i="12"/>
  <c r="F108" i="12"/>
  <c r="E115" i="14" l="1"/>
  <c r="E116" i="14" s="1"/>
  <c r="F108" i="14"/>
  <c r="E117" i="14"/>
  <c r="H74" i="14"/>
  <c r="H72" i="14"/>
  <c r="H74" i="13"/>
  <c r="H72" i="13"/>
  <c r="E115" i="13"/>
  <c r="E116" i="13" s="1"/>
  <c r="E117" i="13"/>
  <c r="F108" i="13"/>
  <c r="F117" i="12"/>
  <c r="F115" i="12"/>
  <c r="H74" i="12"/>
  <c r="H72" i="12"/>
  <c r="F115" i="14" l="1"/>
  <c r="F117" i="14"/>
  <c r="G76" i="14"/>
  <c r="H73" i="14"/>
  <c r="F117" i="13"/>
  <c r="F115" i="13"/>
  <c r="G76" i="13"/>
  <c r="H73" i="13"/>
  <c r="G120" i="12"/>
  <c r="F116" i="12"/>
  <c r="G76" i="12"/>
  <c r="H73" i="12"/>
  <c r="G120" i="14" l="1"/>
  <c r="F116" i="14"/>
  <c r="G120" i="13"/>
  <c r="F116" i="13"/>
</calcChain>
</file>

<file path=xl/sharedStrings.xml><?xml version="1.0" encoding="utf-8"?>
<sst xmlns="http://schemas.openxmlformats.org/spreadsheetml/2006/main" count="644" uniqueCount="136">
  <si>
    <t>HPLC System Suitability Report</t>
  </si>
  <si>
    <t>Analysis Data</t>
  </si>
  <si>
    <t>Assay</t>
  </si>
  <si>
    <t>Sample(s)</t>
  </si>
  <si>
    <t>Reference Substance:</t>
  </si>
  <si>
    <t>RIFAMPICIN 60MG, ISONIAZID 30MG, PYRAZINAMIDE 150MG.</t>
  </si>
  <si>
    <t>% age Purity:</t>
  </si>
  <si>
    <t>NDQD2016061105</t>
  </si>
  <si>
    <t>Weight (mg):</t>
  </si>
  <si>
    <t xml:space="preserve">Rifampicin, Isoniazid, Pyrazinamide
</t>
  </si>
  <si>
    <t>Standard Conc (mg/mL):</t>
  </si>
  <si>
    <t xml:space="preserve">Rifampicin 60mg, Isoniazid 30mg, Pyrazinamide 150mg
</t>
  </si>
  <si>
    <t>2016-06-10 06:51:57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</si>
  <si>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</si>
  <si>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</si>
  <si>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</si>
  <si>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</si>
  <si>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</si>
  <si>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</si>
  <si>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</si>
  <si>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</si>
  <si>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</si>
  <si>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</si>
  <si>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</si>
  <si>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</si>
  <si>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</si>
  <si>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</si>
  <si>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</si>
  <si>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</si>
  <si>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</si>
  <si>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</si>
  <si>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</si>
  <si>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</si>
  <si>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</si>
  <si>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</si>
  <si>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</si>
  <si>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</si>
  <si>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</si>
  <si>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</si>
  <si>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</si>
  <si>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</si>
  <si>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</si>
  <si>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</si>
  <si>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</si>
  <si>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</si>
  <si>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</si>
  <si>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</si>
  <si>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</si>
  <si>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</si>
  <si>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</si>
  <si>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</si>
  <si>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</si>
  <si>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</si>
  <si>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</si>
  <si>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</si>
  <si>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</si>
  <si>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</si>
  <si>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</si>
  <si>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</si>
  <si>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</si>
  <si>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</si>
  <si>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</si>
  <si>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</si>
  <si>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</si>
  <si>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</si>
  <si>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</si>
  <si>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</si>
  <si>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</si>
  <si>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</si>
  <si>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</si>
  <si>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</si>
  <si>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</si>
  <si>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</si>
  <si>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</si>
  <si>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</si>
  <si>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</si>
  <si>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</si>
  <si>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</si>
  <si>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</si>
  <si>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</si>
  <si>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</si>
  <si>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</si>
  <si>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</si>
  <si>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</si>
  <si>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</si>
  <si>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</si>
  <si>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</si>
  <si>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</si>
  <si>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</si>
  <si>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</si>
  <si>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</si>
  <si>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</si>
  <si>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</si>
  <si>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</si>
  <si>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</si>
  <si>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</si>
  <si>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</si>
  <si>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</si>
  <si>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</si>
  <si>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</si>
  <si>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</si>
  <si>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</si>
  <si>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</si>
  <si>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</si>
  <si>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</si>
  <si>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</si>
  <si>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</si>
  <si>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</si>
  <si>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</si>
  <si>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</si>
  <si>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</si>
  <si>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</si>
  <si>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</si>
  <si>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</si>
  <si>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</si>
  <si>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</si>
  <si>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</si>
  <si>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</si>
  <si>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</si>
  <si>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</si>
  <si>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</si>
  <si>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</si>
  <si>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</si>
  <si>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</si>
  <si>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</si>
  <si>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 xml:space="preserve">Rifampicin, Isoniazid, Pyrazinamide 
</t>
  </si>
  <si>
    <t xml:space="preserve">Rifampicin 60mg, Isoniazid 30mg, Pyrazinamide 150mg 
</t>
  </si>
  <si>
    <t>Isoniazid</t>
  </si>
  <si>
    <t>I8-2</t>
  </si>
  <si>
    <t>Pyrazinamide</t>
  </si>
  <si>
    <t>P19-1</t>
  </si>
  <si>
    <t>Rifampicin</t>
  </si>
  <si>
    <t>R5-1</t>
  </si>
  <si>
    <t xml:space="preserve"> ISONIAZID</t>
  </si>
  <si>
    <t>PYRAZINAMIDE</t>
  </si>
  <si>
    <t>RIFAMPICIN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</si>
</sst>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4" fillId="2" borderId="0"/>
    <xf numFmtId="0" fontId="24" fillId="2" borderId="0"/>
    <xf numFmtId="0" fontId="24" fillId="2" borderId="0"/>
  </cellStyleXfs>
  <cellXfs count="713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2" fontId="5" fillId="2" borderId="0" xfId="1" applyNumberFormat="1" applyFont="1" applyFill="1" applyAlignment="1">
      <alignment horizontal="center" wrapText="1"/>
    </xf>
    <xf numFmtId="164" fontId="5" fillId="2" borderId="0" xfId="1" applyNumberFormat="1" applyFont="1" applyFill="1" applyAlignment="1">
      <alignment horizontal="center"/>
    </xf>
    <xf numFmtId="22" fontId="6" fillId="2" borderId="0" xfId="1" applyNumberFormat="1" applyFont="1" applyFill="1"/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1" fillId="2" borderId="0" xfId="1" applyFont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0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0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0" fontId="11" fillId="2" borderId="22" xfId="1" applyNumberFormat="1" applyFont="1" applyFill="1" applyBorder="1" applyAlignment="1">
      <alignment horizontal="center" vertical="center"/>
    </xf>
    <xf numFmtId="166" fontId="11" fillId="2" borderId="14" xfId="1" applyNumberFormat="1" applyFont="1" applyFill="1" applyBorder="1" applyAlignment="1">
      <alignment horizontal="center"/>
    </xf>
    <xf numFmtId="10" fontId="11" fillId="2" borderId="24" xfId="1" applyNumberFormat="1" applyFont="1" applyFill="1" applyBorder="1" applyAlignment="1">
      <alignment horizontal="center" vertical="center"/>
    </xf>
    <xf numFmtId="166" fontId="11" fillId="2" borderId="15" xfId="1" applyNumberFormat="1" applyFont="1" applyFill="1" applyBorder="1" applyAlignment="1">
      <alignment horizontal="center"/>
    </xf>
    <xf numFmtId="10" fontId="11" fillId="2" borderId="44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10" fontId="11" fillId="2" borderId="15" xfId="1" applyNumberFormat="1" applyFont="1" applyFill="1" applyBorder="1" applyAlignment="1">
      <alignment horizontal="center" vertic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0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7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54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0" fontId="11" fillId="2" borderId="23" xfId="1" applyFont="1" applyFill="1" applyBorder="1" applyAlignment="1">
      <alignment horizontal="center"/>
    </xf>
    <xf numFmtId="1" fontId="13" fillId="3" borderId="31" xfId="1" applyNumberFormat="1" applyFont="1" applyFill="1" applyBorder="1" applyAlignment="1" applyProtection="1">
      <alignment horizontal="center"/>
      <protection locked="0"/>
    </xf>
    <xf numFmtId="166" fontId="11" fillId="2" borderId="26" xfId="1" applyNumberFormat="1" applyFont="1" applyFill="1" applyBorder="1" applyAlignment="1">
      <alignment horizontal="center"/>
    </xf>
    <xf numFmtId="10" fontId="11" fillId="2" borderId="30" xfId="1" applyNumberFormat="1" applyFont="1" applyFill="1" applyBorder="1" applyAlignment="1">
      <alignment horizontal="center"/>
    </xf>
    <xf numFmtId="166" fontId="11" fillId="2" borderId="31" xfId="1" applyNumberFormat="1" applyFont="1" applyFill="1" applyBorder="1" applyAlignment="1">
      <alignment horizontal="center"/>
    </xf>
    <xf numFmtId="10" fontId="11" fillId="2" borderId="32" xfId="1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/>
    </xf>
    <xf numFmtId="1" fontId="13" fillId="3" borderId="35" xfId="1" applyNumberFormat="1" applyFont="1" applyFill="1" applyBorder="1" applyAlignment="1" applyProtection="1">
      <alignment horizontal="center"/>
      <protection locked="0"/>
    </xf>
    <xf numFmtId="166" fontId="11" fillId="2" borderId="35" xfId="1" applyNumberFormat="1" applyFont="1" applyFill="1" applyBorder="1" applyAlignment="1">
      <alignment horizontal="center"/>
    </xf>
    <xf numFmtId="10" fontId="11" fillId="2" borderId="36" xfId="1" applyNumberFormat="1" applyFont="1" applyFill="1" applyBorder="1" applyAlignment="1">
      <alignment horizontal="center"/>
    </xf>
    <xf numFmtId="2" fontId="11" fillId="2" borderId="24" xfId="1" applyNumberFormat="1" applyFont="1" applyFill="1" applyBorder="1" applyAlignment="1">
      <alignment horizontal="center"/>
    </xf>
    <xf numFmtId="171" fontId="11" fillId="2" borderId="2" xfId="1" applyNumberFormat="1" applyFont="1" applyFill="1" applyBorder="1" applyAlignment="1">
      <alignment horizontal="right"/>
    </xf>
    <xf numFmtId="2" fontId="13" fillId="7" borderId="27" xfId="1" applyNumberFormat="1" applyFont="1" applyFill="1" applyBorder="1" applyAlignment="1">
      <alignment horizontal="center"/>
    </xf>
    <xf numFmtId="10" fontId="13" fillId="7" borderId="27" xfId="1" applyNumberFormat="1" applyFont="1" applyFill="1" applyBorder="1" applyAlignment="1">
      <alignment horizontal="center"/>
    </xf>
    <xf numFmtId="0" fontId="11" fillId="2" borderId="23" xfId="1" applyFont="1" applyFill="1" applyBorder="1"/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1" fillId="2" borderId="56" xfId="1" applyFont="1" applyFill="1" applyBorder="1" applyAlignment="1">
      <alignment horizontal="right"/>
    </xf>
    <xf numFmtId="0" fontId="13" fillId="7" borderId="17" xfId="1" applyFont="1" applyFill="1" applyBorder="1" applyAlignment="1">
      <alignment horizontal="center"/>
    </xf>
    <xf numFmtId="0" fontId="19" fillId="2" borderId="0" xfId="1" applyFont="1" applyFill="1" applyAlignment="1">
      <alignment horizontal="righ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2" fillId="2" borderId="0" xfId="2" applyFont="1" applyFill="1"/>
    <xf numFmtId="0" fontId="11" fillId="2" borderId="0" xfId="2" applyFont="1" applyFill="1"/>
    <xf numFmtId="0" fontId="24" fillId="2" borderId="0" xfId="2" applyFill="1"/>
    <xf numFmtId="0" fontId="12" fillId="2" borderId="0" xfId="2" applyFont="1" applyFill="1"/>
    <xf numFmtId="0" fontId="13" fillId="2" borderId="0" xfId="2" applyFont="1" applyFill="1" applyAlignment="1" applyProtection="1">
      <alignment horizontal="right"/>
      <protection locked="0"/>
    </xf>
    <xf numFmtId="0" fontId="13" fillId="2" borderId="0" xfId="2" applyFont="1" applyFill="1" applyAlignment="1" applyProtection="1">
      <alignment horizontal="left"/>
      <protection locked="0"/>
    </xf>
    <xf numFmtId="0" fontId="14" fillId="2" borderId="0" xfId="2" applyFont="1" applyFill="1"/>
    <xf numFmtId="0" fontId="14" fillId="3" borderId="0" xfId="2" applyFont="1" applyFill="1" applyAlignment="1" applyProtection="1">
      <alignment horizontal="left"/>
      <protection locked="0"/>
    </xf>
    <xf numFmtId="0" fontId="11" fillId="3" borderId="0" xfId="2" applyFont="1" applyFill="1" applyProtection="1">
      <protection locked="0"/>
    </xf>
    <xf numFmtId="169" fontId="11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12" fillId="2" borderId="0" xfId="2" applyFont="1" applyFill="1" applyAlignment="1">
      <alignment horizontal="right"/>
    </xf>
    <xf numFmtId="0" fontId="11" fillId="2" borderId="0" xfId="2" applyFont="1" applyFill="1" applyAlignment="1">
      <alignment horizontal="right"/>
    </xf>
    <xf numFmtId="0" fontId="13" fillId="3" borderId="0" xfId="2" applyFont="1" applyFill="1" applyAlignment="1" applyProtection="1">
      <alignment horizontal="center"/>
      <protection locked="0"/>
    </xf>
    <xf numFmtId="0" fontId="14" fillId="3" borderId="0" xfId="2" applyFont="1" applyFill="1" applyAlignment="1" applyProtection="1">
      <alignment horizontal="center"/>
      <protection locked="0"/>
    </xf>
    <xf numFmtId="0" fontId="5" fillId="2" borderId="1" xfId="2" applyFont="1" applyFill="1" applyBorder="1" applyAlignment="1">
      <alignment horizontal="center"/>
    </xf>
    <xf numFmtId="0" fontId="15" fillId="2" borderId="0" xfId="2" applyFont="1" applyFill="1" applyAlignment="1">
      <alignment vertical="center" wrapText="1"/>
    </xf>
    <xf numFmtId="0" fontId="12" fillId="2" borderId="0" xfId="2" applyFont="1" applyFill="1" applyAlignment="1">
      <alignment horizontal="center"/>
    </xf>
    <xf numFmtId="0" fontId="16" fillId="2" borderId="0" xfId="2" applyFont="1" applyFill="1"/>
    <xf numFmtId="0" fontId="17" fillId="2" borderId="0" xfId="2" applyFont="1" applyFill="1"/>
    <xf numFmtId="2" fontId="13" fillId="3" borderId="0" xfId="2" applyNumberFormat="1" applyFont="1" applyFill="1" applyAlignment="1" applyProtection="1">
      <alignment horizontal="center"/>
      <protection locked="0"/>
    </xf>
    <xf numFmtId="0" fontId="12" fillId="2" borderId="0" xfId="2" applyFont="1" applyFill="1" applyAlignment="1">
      <alignment vertical="center" wrapText="1"/>
    </xf>
    <xf numFmtId="0" fontId="18" fillId="2" borderId="0" xfId="2" applyFont="1" applyFill="1"/>
    <xf numFmtId="2" fontId="12" fillId="2" borderId="0" xfId="2" applyNumberFormat="1" applyFont="1" applyFill="1" applyAlignment="1">
      <alignment horizontal="center"/>
    </xf>
    <xf numFmtId="0" fontId="19" fillId="2" borderId="0" xfId="2" applyFont="1" applyFill="1" applyAlignment="1">
      <alignment horizontal="left" vertical="center" wrapText="1"/>
    </xf>
    <xf numFmtId="170" fontId="12" fillId="2" borderId="0" xfId="2" applyNumberFormat="1" applyFont="1" applyFill="1" applyAlignment="1">
      <alignment horizontal="center"/>
    </xf>
    <xf numFmtId="0" fontId="11" fillId="2" borderId="21" xfId="2" applyFont="1" applyFill="1" applyBorder="1" applyAlignment="1">
      <alignment horizontal="right"/>
    </xf>
    <xf numFmtId="0" fontId="13" fillId="3" borderId="22" xfId="2" applyFont="1" applyFill="1" applyBorder="1" applyAlignment="1" applyProtection="1">
      <alignment horizontal="center"/>
      <protection locked="0"/>
    </xf>
    <xf numFmtId="0" fontId="11" fillId="2" borderId="23" xfId="2" applyFont="1" applyFill="1" applyBorder="1" applyAlignment="1">
      <alignment horizontal="right"/>
    </xf>
    <xf numFmtId="0" fontId="13" fillId="3" borderId="24" xfId="2" applyFont="1" applyFill="1" applyBorder="1" applyAlignment="1" applyProtection="1">
      <alignment horizontal="center"/>
      <protection locked="0"/>
    </xf>
    <xf numFmtId="0" fontId="12" fillId="2" borderId="22" xfId="2" applyFont="1" applyFill="1" applyBorder="1" applyAlignment="1">
      <alignment horizontal="center"/>
    </xf>
    <xf numFmtId="0" fontId="12" fillId="2" borderId="25" xfId="2" applyFont="1" applyFill="1" applyBorder="1" applyAlignment="1">
      <alignment horizontal="center"/>
    </xf>
    <xf numFmtId="0" fontId="12" fillId="2" borderId="26" xfId="2" applyFont="1" applyFill="1" applyBorder="1" applyAlignment="1">
      <alignment horizontal="center"/>
    </xf>
    <xf numFmtId="0" fontId="12" fillId="2" borderId="27" xfId="2" applyFont="1" applyFill="1" applyBorder="1" applyAlignment="1">
      <alignment horizontal="center"/>
    </xf>
    <xf numFmtId="0" fontId="12" fillId="2" borderId="12" xfId="2" applyFont="1" applyFill="1" applyBorder="1" applyAlignment="1">
      <alignment horizontal="center"/>
    </xf>
    <xf numFmtId="0" fontId="11" fillId="2" borderId="28" xfId="2" applyFont="1" applyFill="1" applyBorder="1" applyAlignment="1">
      <alignment horizontal="center"/>
    </xf>
    <xf numFmtId="0" fontId="13" fillId="3" borderId="29" xfId="2" applyFont="1" applyFill="1" applyBorder="1" applyAlignment="1" applyProtection="1">
      <alignment horizontal="center"/>
      <protection locked="0"/>
    </xf>
    <xf numFmtId="171" fontId="11" fillId="2" borderId="26" xfId="2" applyNumberFormat="1" applyFont="1" applyFill="1" applyBorder="1" applyAlignment="1">
      <alignment horizontal="center"/>
    </xf>
    <xf numFmtId="171" fontId="11" fillId="2" borderId="30" xfId="2" applyNumberFormat="1" applyFont="1" applyFill="1" applyBorder="1" applyAlignment="1">
      <alignment horizontal="center"/>
    </xf>
    <xf numFmtId="0" fontId="18" fillId="2" borderId="13" xfId="2" applyFont="1" applyFill="1" applyBorder="1"/>
    <xf numFmtId="0" fontId="11" fillId="2" borderId="24" xfId="2" applyFont="1" applyFill="1" applyBorder="1" applyAlignment="1">
      <alignment horizontal="center"/>
    </xf>
    <xf numFmtId="0" fontId="13" fillId="3" borderId="23" xfId="2" applyFont="1" applyFill="1" applyBorder="1" applyAlignment="1" applyProtection="1">
      <alignment horizontal="center"/>
      <protection locked="0"/>
    </xf>
    <xf numFmtId="171" fontId="11" fillId="2" borderId="31" xfId="2" applyNumberFormat="1" applyFont="1" applyFill="1" applyBorder="1" applyAlignment="1">
      <alignment horizontal="center"/>
    </xf>
    <xf numFmtId="171" fontId="11" fillId="2" borderId="32" xfId="2" applyNumberFormat="1" applyFont="1" applyFill="1" applyBorder="1" applyAlignment="1">
      <alignment horizontal="center"/>
    </xf>
    <xf numFmtId="0" fontId="11" fillId="2" borderId="33" xfId="2" applyFont="1" applyFill="1" applyBorder="1" applyAlignment="1">
      <alignment horizontal="center"/>
    </xf>
    <xf numFmtId="0" fontId="13" fillId="3" borderId="34" xfId="2" applyFont="1" applyFill="1" applyBorder="1" applyAlignment="1" applyProtection="1">
      <alignment horizontal="center"/>
      <protection locked="0"/>
    </xf>
    <xf numFmtId="171" fontId="11" fillId="2" borderId="35" xfId="2" applyNumberFormat="1" applyFont="1" applyFill="1" applyBorder="1" applyAlignment="1">
      <alignment horizontal="center"/>
    </xf>
    <xf numFmtId="171" fontId="11" fillId="2" borderId="36" xfId="2" applyNumberFormat="1" applyFont="1" applyFill="1" applyBorder="1" applyAlignment="1">
      <alignment horizontal="center"/>
    </xf>
    <xf numFmtId="0" fontId="11" fillId="2" borderId="15" xfId="2" applyFont="1" applyFill="1" applyBorder="1"/>
    <xf numFmtId="0" fontId="11" fillId="2" borderId="24" xfId="2" applyFont="1" applyFill="1" applyBorder="1" applyAlignment="1">
      <alignment horizontal="right"/>
    </xf>
    <xf numFmtId="1" fontId="12" fillId="6" borderId="37" xfId="2" applyNumberFormat="1" applyFont="1" applyFill="1" applyBorder="1" applyAlignment="1">
      <alignment horizontal="center"/>
    </xf>
    <xf numFmtId="171" fontId="12" fillId="6" borderId="38" xfId="2" applyNumberFormat="1" applyFont="1" applyFill="1" applyBorder="1" applyAlignment="1">
      <alignment horizontal="center"/>
    </xf>
    <xf numFmtId="171" fontId="12" fillId="6" borderId="39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11" fillId="2" borderId="40" xfId="2" applyFont="1" applyFill="1" applyBorder="1" applyAlignment="1">
      <alignment horizontal="right"/>
    </xf>
    <xf numFmtId="0" fontId="13" fillId="3" borderId="16" xfId="2" applyFont="1" applyFill="1" applyBorder="1" applyAlignment="1" applyProtection="1">
      <alignment horizontal="center"/>
      <protection locked="0"/>
    </xf>
    <xf numFmtId="0" fontId="11" fillId="2" borderId="11" xfId="2" applyFont="1" applyFill="1" applyBorder="1" applyAlignment="1">
      <alignment horizontal="right"/>
    </xf>
    <xf numFmtId="2" fontId="11" fillId="6" borderId="41" xfId="2" applyNumberFormat="1" applyFont="1" applyFill="1" applyBorder="1" applyAlignment="1">
      <alignment horizontal="center"/>
    </xf>
    <xf numFmtId="0" fontId="11" fillId="2" borderId="0" xfId="2" applyFont="1" applyFill="1" applyAlignment="1">
      <alignment horizontal="center"/>
    </xf>
    <xf numFmtId="2" fontId="11" fillId="7" borderId="41" xfId="2" applyNumberFormat="1" applyFont="1" applyFill="1" applyBorder="1" applyAlignment="1">
      <alignment horizontal="center"/>
    </xf>
    <xf numFmtId="2" fontId="11" fillId="2" borderId="0" xfId="2" applyNumberFormat="1" applyFont="1" applyFill="1" applyAlignment="1">
      <alignment horizontal="center"/>
    </xf>
    <xf numFmtId="166" fontId="11" fillId="6" borderId="41" xfId="2" applyNumberFormat="1" applyFont="1" applyFill="1" applyBorder="1" applyAlignment="1">
      <alignment horizontal="center"/>
    </xf>
    <xf numFmtId="166" fontId="11" fillId="2" borderId="0" xfId="2" applyNumberFormat="1" applyFont="1" applyFill="1" applyAlignment="1">
      <alignment horizontal="center"/>
    </xf>
    <xf numFmtId="166" fontId="11" fillId="6" borderId="17" xfId="2" applyNumberFormat="1" applyFont="1" applyFill="1" applyBorder="1" applyAlignment="1">
      <alignment horizontal="center"/>
    </xf>
    <xf numFmtId="0" fontId="11" fillId="2" borderId="42" xfId="2" applyFont="1" applyFill="1" applyBorder="1" applyAlignment="1">
      <alignment horizontal="right"/>
    </xf>
    <xf numFmtId="166" fontId="13" fillId="3" borderId="41" xfId="2" applyNumberFormat="1" applyFont="1" applyFill="1" applyBorder="1" applyAlignment="1" applyProtection="1">
      <alignment horizontal="center"/>
      <protection locked="0"/>
    </xf>
    <xf numFmtId="166" fontId="11" fillId="2" borderId="0" xfId="2" applyNumberFormat="1" applyFont="1" applyFill="1"/>
    <xf numFmtId="0" fontId="11" fillId="2" borderId="29" xfId="2" applyFont="1" applyFill="1" applyBorder="1" applyAlignment="1">
      <alignment horizontal="right"/>
    </xf>
    <xf numFmtId="1" fontId="11" fillId="2" borderId="0" xfId="2" applyNumberFormat="1" applyFont="1" applyFill="1" applyAlignment="1">
      <alignment horizontal="center"/>
    </xf>
    <xf numFmtId="0" fontId="11" fillId="2" borderId="15" xfId="2" applyFont="1" applyFill="1" applyBorder="1" applyAlignment="1">
      <alignment horizontal="right"/>
    </xf>
    <xf numFmtId="2" fontId="11" fillId="6" borderId="15" xfId="2" applyNumberFormat="1" applyFont="1" applyFill="1" applyBorder="1" applyAlignment="1">
      <alignment horizontal="center"/>
    </xf>
    <xf numFmtId="171" fontId="12" fillId="7" borderId="13" xfId="2" applyNumberFormat="1" applyFont="1" applyFill="1" applyBorder="1" applyAlignment="1">
      <alignment horizontal="center"/>
    </xf>
    <xf numFmtId="171" fontId="11" fillId="2" borderId="0" xfId="2" applyNumberFormat="1" applyFont="1" applyFill="1" applyAlignment="1">
      <alignment horizontal="center"/>
    </xf>
    <xf numFmtId="10" fontId="11" fillId="6" borderId="41" xfId="2" applyNumberFormat="1" applyFont="1" applyFill="1" applyBorder="1" applyAlignment="1">
      <alignment horizontal="center"/>
    </xf>
    <xf numFmtId="0" fontId="11" fillId="2" borderId="43" xfId="2" applyFont="1" applyFill="1" applyBorder="1" applyAlignment="1">
      <alignment horizontal="right"/>
    </xf>
    <xf numFmtId="0" fontId="11" fillId="7" borderId="15" xfId="2" applyFont="1" applyFill="1" applyBorder="1" applyAlignment="1">
      <alignment horizontal="center"/>
    </xf>
    <xf numFmtId="0" fontId="3" fillId="2" borderId="0" xfId="2" applyFont="1" applyFill="1"/>
    <xf numFmtId="0" fontId="12" fillId="2" borderId="0" xfId="2" applyFont="1" applyFill="1" applyAlignment="1">
      <alignment horizontal="left"/>
    </xf>
    <xf numFmtId="0" fontId="11" fillId="2" borderId="0" xfId="2" applyFont="1" applyFill="1" applyAlignment="1">
      <alignment horizontal="left"/>
    </xf>
    <xf numFmtId="172" fontId="13" fillId="3" borderId="0" xfId="2" applyNumberFormat="1" applyFont="1" applyFill="1" applyAlignment="1" applyProtection="1">
      <alignment horizontal="center"/>
      <protection locked="0"/>
    </xf>
    <xf numFmtId="166" fontId="12" fillId="2" borderId="0" xfId="2" applyNumberFormat="1" applyFont="1" applyFill="1" applyAlignment="1" applyProtection="1">
      <alignment horizontal="center"/>
      <protection locked="0"/>
    </xf>
    <xf numFmtId="2" fontId="12" fillId="2" borderId="13" xfId="2" applyNumberFormat="1" applyFont="1" applyFill="1" applyBorder="1" applyAlignment="1">
      <alignment horizontal="center"/>
    </xf>
    <xf numFmtId="0" fontId="12" fillId="2" borderId="13" xfId="2" applyFont="1" applyFill="1" applyBorder="1" applyAlignment="1">
      <alignment horizontal="center"/>
    </xf>
    <xf numFmtId="0" fontId="11" fillId="2" borderId="13" xfId="2" applyFont="1" applyFill="1" applyBorder="1" applyAlignment="1">
      <alignment horizontal="center"/>
    </xf>
    <xf numFmtId="0" fontId="13" fillId="3" borderId="21" xfId="2" applyFont="1" applyFill="1" applyBorder="1" applyAlignment="1" applyProtection="1">
      <alignment horizontal="center"/>
      <protection locked="0"/>
    </xf>
    <xf numFmtId="166" fontId="11" fillId="2" borderId="21" xfId="2" applyNumberFormat="1" applyFont="1" applyFill="1" applyBorder="1" applyAlignment="1">
      <alignment horizontal="center"/>
    </xf>
    <xf numFmtId="10" fontId="11" fillId="2" borderId="13" xfId="2" applyNumberFormat="1" applyFont="1" applyFill="1" applyBorder="1" applyAlignment="1">
      <alignment horizontal="center" vertical="center"/>
    </xf>
    <xf numFmtId="0" fontId="11" fillId="2" borderId="14" xfId="2" applyFont="1" applyFill="1" applyBorder="1" applyAlignment="1">
      <alignment horizontal="center"/>
    </xf>
    <xf numFmtId="166" fontId="11" fillId="2" borderId="23" xfId="2" applyNumberFormat="1" applyFont="1" applyFill="1" applyBorder="1" applyAlignment="1">
      <alignment horizontal="center"/>
    </xf>
    <xf numFmtId="10" fontId="11" fillId="2" borderId="14" xfId="2" applyNumberFormat="1" applyFont="1" applyFill="1" applyBorder="1" applyAlignment="1">
      <alignment horizontal="center" vertical="center"/>
    </xf>
    <xf numFmtId="1" fontId="13" fillId="3" borderId="23" xfId="2" applyNumberFormat="1" applyFont="1" applyFill="1" applyBorder="1" applyAlignment="1" applyProtection="1">
      <alignment horizontal="center"/>
      <protection locked="0"/>
    </xf>
    <xf numFmtId="0" fontId="11" fillId="2" borderId="15" xfId="2" applyFont="1" applyFill="1" applyBorder="1" applyAlignment="1">
      <alignment horizontal="center"/>
    </xf>
    <xf numFmtId="0" fontId="13" fillId="3" borderId="43" xfId="2" applyFont="1" applyFill="1" applyBorder="1" applyAlignment="1" applyProtection="1">
      <alignment horizontal="center"/>
      <protection locked="0"/>
    </xf>
    <xf numFmtId="166" fontId="11" fillId="2" borderId="13" xfId="2" applyNumberFormat="1" applyFont="1" applyFill="1" applyBorder="1" applyAlignment="1">
      <alignment horizontal="center"/>
    </xf>
    <xf numFmtId="10" fontId="11" fillId="2" borderId="22" xfId="2" applyNumberFormat="1" applyFont="1" applyFill="1" applyBorder="1" applyAlignment="1">
      <alignment horizontal="center" vertical="center"/>
    </xf>
    <xf numFmtId="166" fontId="11" fillId="2" borderId="14" xfId="2" applyNumberFormat="1" applyFont="1" applyFill="1" applyBorder="1" applyAlignment="1">
      <alignment horizontal="center"/>
    </xf>
    <xf numFmtId="10" fontId="11" fillId="2" borderId="24" xfId="2" applyNumberFormat="1" applyFont="1" applyFill="1" applyBorder="1" applyAlignment="1">
      <alignment horizontal="center" vertical="center"/>
    </xf>
    <xf numFmtId="166" fontId="11" fillId="2" borderId="15" xfId="2" applyNumberFormat="1" applyFont="1" applyFill="1" applyBorder="1" applyAlignment="1">
      <alignment horizontal="center"/>
    </xf>
    <xf numFmtId="10" fontId="11" fillId="2" borderId="44" xfId="2" applyNumberFormat="1" applyFont="1" applyFill="1" applyBorder="1" applyAlignment="1">
      <alignment horizontal="center" vertical="center"/>
    </xf>
    <xf numFmtId="0" fontId="14" fillId="2" borderId="24" xfId="2" applyFont="1" applyFill="1" applyBorder="1" applyAlignment="1">
      <alignment horizontal="center"/>
    </xf>
    <xf numFmtId="2" fontId="14" fillId="2" borderId="44" xfId="2" applyNumberFormat="1" applyFont="1" applyFill="1" applyBorder="1" applyAlignment="1">
      <alignment horizontal="center"/>
    </xf>
    <xf numFmtId="10" fontId="11" fillId="2" borderId="15" xfId="2" applyNumberFormat="1" applyFont="1" applyFill="1" applyBorder="1" applyAlignment="1">
      <alignment horizontal="center" vertical="center"/>
    </xf>
    <xf numFmtId="0" fontId="11" fillId="2" borderId="45" xfId="2" applyFont="1" applyFill="1" applyBorder="1" applyAlignment="1">
      <alignment horizontal="right"/>
    </xf>
    <xf numFmtId="2" fontId="13" fillId="7" borderId="33" xfId="2" applyNumberFormat="1" applyFont="1" applyFill="1" applyBorder="1" applyAlignment="1">
      <alignment horizontal="center"/>
    </xf>
    <xf numFmtId="10" fontId="13" fillId="7" borderId="33" xfId="2" applyNumberFormat="1" applyFont="1" applyFill="1" applyBorder="1" applyAlignment="1">
      <alignment horizontal="center"/>
    </xf>
    <xf numFmtId="0" fontId="11" fillId="2" borderId="41" xfId="2" applyFont="1" applyFill="1" applyBorder="1" applyAlignment="1">
      <alignment horizontal="right"/>
    </xf>
    <xf numFmtId="10" fontId="13" fillId="6" borderId="57" xfId="2" applyNumberFormat="1" applyFont="1" applyFill="1" applyBorder="1" applyAlignment="1">
      <alignment horizontal="center"/>
    </xf>
    <xf numFmtId="0" fontId="11" fillId="2" borderId="17" xfId="2" applyFont="1" applyFill="1" applyBorder="1" applyAlignment="1">
      <alignment horizontal="right"/>
    </xf>
    <xf numFmtId="0" fontId="13" fillId="7" borderId="46" xfId="2" applyFont="1" applyFill="1" applyBorder="1" applyAlignment="1">
      <alignment horizontal="center"/>
    </xf>
    <xf numFmtId="165" fontId="13" fillId="2" borderId="0" xfId="2" applyNumberFormat="1" applyFont="1" applyFill="1" applyAlignment="1">
      <alignment horizontal="center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/>
    </xf>
    <xf numFmtId="0" fontId="12" fillId="2" borderId="30" xfId="2" applyFont="1" applyFill="1" applyBorder="1" applyAlignment="1">
      <alignment horizontal="center"/>
    </xf>
    <xf numFmtId="0" fontId="11" fillId="2" borderId="48" xfId="2" applyFont="1" applyFill="1" applyBorder="1" applyAlignment="1">
      <alignment horizontal="center"/>
    </xf>
    <xf numFmtId="0" fontId="11" fillId="2" borderId="7" xfId="2" applyFont="1" applyFill="1" applyBorder="1" applyAlignment="1">
      <alignment horizontal="center"/>
    </xf>
    <xf numFmtId="171" fontId="13" fillId="3" borderId="34" xfId="2" applyNumberFormat="1" applyFont="1" applyFill="1" applyBorder="1" applyAlignment="1" applyProtection="1">
      <alignment horizontal="center"/>
      <protection locked="0"/>
    </xf>
    <xf numFmtId="1" fontId="12" fillId="6" borderId="49" xfId="2" applyNumberFormat="1" applyFont="1" applyFill="1" applyBorder="1" applyAlignment="1">
      <alignment horizontal="center"/>
    </xf>
    <xf numFmtId="1" fontId="12" fillId="6" borderId="50" xfId="2" applyNumberFormat="1" applyFont="1" applyFill="1" applyBorder="1" applyAlignment="1">
      <alignment horizontal="center"/>
    </xf>
    <xf numFmtId="171" fontId="12" fillId="6" borderId="15" xfId="2" applyNumberFormat="1" applyFont="1" applyFill="1" applyBorder="1" applyAlignment="1">
      <alignment horizontal="center"/>
    </xf>
    <xf numFmtId="0" fontId="11" fillId="2" borderId="51" xfId="2" applyFont="1" applyFill="1" applyBorder="1" applyAlignment="1">
      <alignment horizontal="right"/>
    </xf>
    <xf numFmtId="0" fontId="13" fillId="3" borderId="52" xfId="2" applyFont="1" applyFill="1" applyBorder="1" applyAlignment="1" applyProtection="1">
      <alignment horizontal="center"/>
      <protection locked="0"/>
    </xf>
    <xf numFmtId="0" fontId="11" fillId="2" borderId="25" xfId="2" applyFont="1" applyFill="1" applyBorder="1" applyAlignment="1">
      <alignment horizontal="right"/>
    </xf>
    <xf numFmtId="2" fontId="11" fillId="6" borderId="27" xfId="2" applyNumberFormat="1" applyFont="1" applyFill="1" applyBorder="1" applyAlignment="1">
      <alignment horizontal="center"/>
    </xf>
    <xf numFmtId="2" fontId="11" fillId="7" borderId="27" xfId="2" applyNumberFormat="1" applyFont="1" applyFill="1" applyBorder="1" applyAlignment="1">
      <alignment horizontal="center"/>
    </xf>
    <xf numFmtId="166" fontId="11" fillId="6" borderId="27" xfId="2" applyNumberFormat="1" applyFont="1" applyFill="1" applyBorder="1" applyAlignment="1">
      <alignment horizontal="center"/>
    </xf>
    <xf numFmtId="166" fontId="11" fillId="7" borderId="27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11" fillId="2" borderId="53" xfId="2" applyFont="1" applyFill="1" applyBorder="1" applyAlignment="1">
      <alignment horizontal="right"/>
    </xf>
    <xf numFmtId="2" fontId="11" fillId="7" borderId="30" xfId="2" applyNumberFormat="1" applyFont="1" applyFill="1" applyBorder="1" applyAlignment="1">
      <alignment horizontal="center"/>
    </xf>
    <xf numFmtId="0" fontId="12" fillId="2" borderId="0" xfId="2" applyFont="1" applyFill="1" applyAlignment="1">
      <alignment horizontal="center" wrapText="1"/>
    </xf>
    <xf numFmtId="0" fontId="11" fillId="2" borderId="16" xfId="2" applyFont="1" applyFill="1" applyBorder="1" applyAlignment="1">
      <alignment horizontal="right"/>
    </xf>
    <xf numFmtId="171" fontId="12" fillId="7" borderId="16" xfId="2" applyNumberFormat="1" applyFont="1" applyFill="1" applyBorder="1" applyAlignment="1">
      <alignment horizontal="center"/>
    </xf>
    <xf numFmtId="10" fontId="11" fillId="2" borderId="0" xfId="2" applyNumberFormat="1" applyFont="1" applyFill="1" applyAlignment="1">
      <alignment horizontal="center"/>
    </xf>
    <xf numFmtId="10" fontId="12" fillId="6" borderId="41" xfId="2" applyNumberFormat="1" applyFont="1" applyFill="1" applyBorder="1" applyAlignment="1">
      <alignment horizontal="center"/>
    </xf>
    <xf numFmtId="0" fontId="12" fillId="7" borderId="17" xfId="2" applyFont="1" applyFill="1" applyBorder="1" applyAlignment="1">
      <alignment horizontal="center"/>
    </xf>
    <xf numFmtId="0" fontId="12" fillId="2" borderId="54" xfId="2" applyFont="1" applyFill="1" applyBorder="1" applyAlignment="1">
      <alignment horizontal="center"/>
    </xf>
    <xf numFmtId="0" fontId="12" fillId="2" borderId="55" xfId="2" applyFont="1" applyFill="1" applyBorder="1" applyAlignment="1">
      <alignment horizontal="center"/>
    </xf>
    <xf numFmtId="0" fontId="12" fillId="2" borderId="22" xfId="2" applyFont="1" applyFill="1" applyBorder="1" applyAlignment="1">
      <alignment horizontal="center" wrapText="1"/>
    </xf>
    <xf numFmtId="0" fontId="11" fillId="2" borderId="23" xfId="2" applyFont="1" applyFill="1" applyBorder="1" applyAlignment="1">
      <alignment horizontal="center"/>
    </xf>
    <xf numFmtId="1" fontId="13" fillId="3" borderId="31" xfId="2" applyNumberFormat="1" applyFont="1" applyFill="1" applyBorder="1" applyAlignment="1" applyProtection="1">
      <alignment horizontal="center"/>
      <protection locked="0"/>
    </xf>
    <xf numFmtId="166" fontId="11" fillId="2" borderId="26" xfId="2" applyNumberFormat="1" applyFont="1" applyFill="1" applyBorder="1" applyAlignment="1">
      <alignment horizontal="center"/>
    </xf>
    <xf numFmtId="10" fontId="11" fillId="2" borderId="30" xfId="2" applyNumberFormat="1" applyFont="1" applyFill="1" applyBorder="1" applyAlignment="1">
      <alignment horizontal="center"/>
    </xf>
    <xf numFmtId="166" fontId="11" fillId="2" borderId="31" xfId="2" applyNumberFormat="1" applyFont="1" applyFill="1" applyBorder="1" applyAlignment="1">
      <alignment horizontal="center"/>
    </xf>
    <xf numFmtId="10" fontId="11" fillId="2" borderId="32" xfId="2" applyNumberFormat="1" applyFont="1" applyFill="1" applyBorder="1" applyAlignment="1">
      <alignment horizontal="center"/>
    </xf>
    <xf numFmtId="0" fontId="11" fillId="2" borderId="34" xfId="2" applyFont="1" applyFill="1" applyBorder="1" applyAlignment="1">
      <alignment horizontal="center"/>
    </xf>
    <xf numFmtId="1" fontId="13" fillId="3" borderId="35" xfId="2" applyNumberFormat="1" applyFont="1" applyFill="1" applyBorder="1" applyAlignment="1" applyProtection="1">
      <alignment horizontal="center"/>
      <protection locked="0"/>
    </xf>
    <xf numFmtId="166" fontId="11" fillId="2" borderId="35" xfId="2" applyNumberFormat="1" applyFont="1" applyFill="1" applyBorder="1" applyAlignment="1">
      <alignment horizontal="center"/>
    </xf>
    <xf numFmtId="10" fontId="11" fillId="2" borderId="36" xfId="2" applyNumberFormat="1" applyFont="1" applyFill="1" applyBorder="1" applyAlignment="1">
      <alignment horizontal="center"/>
    </xf>
    <xf numFmtId="2" fontId="11" fillId="2" borderId="24" xfId="2" applyNumberFormat="1" applyFont="1" applyFill="1" applyBorder="1" applyAlignment="1">
      <alignment horizontal="center"/>
    </xf>
    <xf numFmtId="171" fontId="11" fillId="2" borderId="2" xfId="2" applyNumberFormat="1" applyFont="1" applyFill="1" applyBorder="1" applyAlignment="1">
      <alignment horizontal="right"/>
    </xf>
    <xf numFmtId="2" fontId="13" fillId="7" borderId="27" xfId="2" applyNumberFormat="1" applyFont="1" applyFill="1" applyBorder="1" applyAlignment="1">
      <alignment horizontal="center"/>
    </xf>
    <xf numFmtId="10" fontId="13" fillId="7" borderId="27" xfId="2" applyNumberFormat="1" applyFont="1" applyFill="1" applyBorder="1" applyAlignment="1">
      <alignment horizontal="center"/>
    </xf>
    <xf numFmtId="0" fontId="11" fillId="2" borderId="23" xfId="2" applyFont="1" applyFill="1" applyBorder="1"/>
    <xf numFmtId="10" fontId="13" fillId="6" borderId="27" xfId="2" applyNumberFormat="1" applyFont="1" applyFill="1" applyBorder="1" applyAlignment="1">
      <alignment horizontal="center"/>
    </xf>
    <xf numFmtId="0" fontId="11" fillId="2" borderId="43" xfId="2" applyFont="1" applyFill="1" applyBorder="1"/>
    <xf numFmtId="0" fontId="11" fillId="2" borderId="56" xfId="2" applyFont="1" applyFill="1" applyBorder="1" applyAlignment="1">
      <alignment horizontal="right"/>
    </xf>
    <xf numFmtId="0" fontId="13" fillId="7" borderId="17" xfId="2" applyFont="1" applyFill="1" applyBorder="1" applyAlignment="1">
      <alignment horizontal="center"/>
    </xf>
    <xf numFmtId="0" fontId="19" fillId="2" borderId="0" xfId="2" applyFont="1" applyFill="1" applyAlignment="1">
      <alignment horizontal="right" vertical="center" wrapText="1"/>
    </xf>
    <xf numFmtId="0" fontId="19" fillId="2" borderId="9" xfId="2" applyFont="1" applyFill="1" applyBorder="1" applyAlignment="1">
      <alignment horizontal="left" vertical="center" wrapText="1"/>
    </xf>
    <xf numFmtId="0" fontId="11" fillId="2" borderId="9" xfId="2" applyFont="1" applyFill="1" applyBorder="1"/>
    <xf numFmtId="0" fontId="11" fillId="2" borderId="10" xfId="2" applyFont="1" applyFill="1" applyBorder="1" applyAlignment="1">
      <alignment horizontal="center"/>
    </xf>
    <xf numFmtId="0" fontId="11" fillId="2" borderId="7" xfId="2" applyFont="1" applyFill="1" applyBorder="1"/>
    <xf numFmtId="0" fontId="12" fillId="2" borderId="11" xfId="2" applyFont="1" applyFill="1" applyBorder="1"/>
    <xf numFmtId="0" fontId="11" fillId="2" borderId="11" xfId="2" applyFont="1" applyFill="1" applyBorder="1"/>
    <xf numFmtId="0" fontId="2" fillId="2" borderId="0" xfId="3" applyFont="1" applyFill="1"/>
    <xf numFmtId="0" fontId="11" fillId="2" borderId="0" xfId="3" applyFont="1" applyFill="1"/>
    <xf numFmtId="0" fontId="24" fillId="2" borderId="0" xfId="3" applyFill="1"/>
    <xf numFmtId="0" fontId="12" fillId="2" borderId="0" xfId="3" applyFont="1" applyFill="1"/>
    <xf numFmtId="0" fontId="13" fillId="2" borderId="0" xfId="3" applyFont="1" applyFill="1" applyAlignment="1" applyProtection="1">
      <alignment horizontal="right"/>
      <protection locked="0"/>
    </xf>
    <xf numFmtId="0" fontId="13" fillId="2" borderId="0" xfId="3" applyFont="1" applyFill="1" applyAlignment="1" applyProtection="1">
      <alignment horizontal="left"/>
      <protection locked="0"/>
    </xf>
    <xf numFmtId="0" fontId="14" fillId="2" borderId="0" xfId="3" applyFont="1" applyFill="1"/>
    <xf numFmtId="0" fontId="14" fillId="3" borderId="0" xfId="3" applyFont="1" applyFill="1" applyAlignment="1" applyProtection="1">
      <alignment horizontal="left"/>
      <protection locked="0"/>
    </xf>
    <xf numFmtId="0" fontId="11" fillId="3" borderId="0" xfId="3" applyFont="1" applyFill="1" applyProtection="1">
      <protection locked="0"/>
    </xf>
    <xf numFmtId="169" fontId="11" fillId="2" borderId="0" xfId="3" applyNumberFormat="1" applyFont="1" applyFill="1" applyAlignment="1">
      <alignment horizontal="left"/>
    </xf>
    <xf numFmtId="0" fontId="3" fillId="2" borderId="0" xfId="3" applyFont="1" applyFill="1" applyAlignment="1">
      <alignment horizontal="left"/>
    </xf>
    <xf numFmtId="0" fontId="12" fillId="2" borderId="0" xfId="3" applyFont="1" applyFill="1" applyAlignment="1">
      <alignment horizontal="right"/>
    </xf>
    <xf numFmtId="0" fontId="11" fillId="2" borderId="0" xfId="3" applyFont="1" applyFill="1" applyAlignment="1">
      <alignment horizontal="right"/>
    </xf>
    <xf numFmtId="0" fontId="13" fillId="3" borderId="0" xfId="3" applyFont="1" applyFill="1" applyAlignment="1" applyProtection="1">
      <alignment horizontal="center"/>
      <protection locked="0"/>
    </xf>
    <xf numFmtId="0" fontId="14" fillId="3" borderId="0" xfId="3" applyFont="1" applyFill="1" applyAlignment="1" applyProtection="1">
      <alignment horizontal="center"/>
      <protection locked="0"/>
    </xf>
    <xf numFmtId="0" fontId="5" fillId="2" borderId="1" xfId="3" applyFont="1" applyFill="1" applyBorder="1" applyAlignment="1">
      <alignment horizontal="center"/>
    </xf>
    <xf numFmtId="0" fontId="15" fillId="2" borderId="0" xfId="3" applyFont="1" applyFill="1" applyAlignment="1">
      <alignment vertical="center" wrapText="1"/>
    </xf>
    <xf numFmtId="0" fontId="12" fillId="2" borderId="0" xfId="3" applyFont="1" applyFill="1" applyAlignment="1">
      <alignment horizontal="center"/>
    </xf>
    <xf numFmtId="0" fontId="16" fillId="2" borderId="0" xfId="3" applyFont="1" applyFill="1"/>
    <xf numFmtId="0" fontId="17" fillId="2" borderId="0" xfId="3" applyFont="1" applyFill="1"/>
    <xf numFmtId="2" fontId="13" fillId="3" borderId="0" xfId="3" applyNumberFormat="1" applyFont="1" applyFill="1" applyAlignment="1" applyProtection="1">
      <alignment horizontal="center"/>
      <protection locked="0"/>
    </xf>
    <xf numFmtId="0" fontId="12" fillId="2" borderId="0" xfId="3" applyFont="1" applyFill="1" applyAlignment="1">
      <alignment vertical="center" wrapText="1"/>
    </xf>
    <xf numFmtId="0" fontId="18" fillId="2" borderId="0" xfId="3" applyFont="1" applyFill="1"/>
    <xf numFmtId="2" fontId="12" fillId="2" borderId="0" xfId="3" applyNumberFormat="1" applyFont="1" applyFill="1" applyAlignment="1">
      <alignment horizontal="center"/>
    </xf>
    <xf numFmtId="0" fontId="19" fillId="2" borderId="0" xfId="3" applyFont="1" applyFill="1" applyAlignment="1">
      <alignment horizontal="left" vertical="center" wrapText="1"/>
    </xf>
    <xf numFmtId="170" fontId="12" fillId="2" borderId="0" xfId="3" applyNumberFormat="1" applyFont="1" applyFill="1" applyAlignment="1">
      <alignment horizontal="center"/>
    </xf>
    <xf numFmtId="0" fontId="11" fillId="2" borderId="21" xfId="3" applyFont="1" applyFill="1" applyBorder="1" applyAlignment="1">
      <alignment horizontal="right"/>
    </xf>
    <xf numFmtId="0" fontId="13" fillId="3" borderId="22" xfId="3" applyFont="1" applyFill="1" applyBorder="1" applyAlignment="1" applyProtection="1">
      <alignment horizontal="center"/>
      <protection locked="0"/>
    </xf>
    <xf numFmtId="0" fontId="11" fillId="2" borderId="23" xfId="3" applyFont="1" applyFill="1" applyBorder="1" applyAlignment="1">
      <alignment horizontal="right"/>
    </xf>
    <xf numFmtId="0" fontId="13" fillId="3" borderId="24" xfId="3" applyFont="1" applyFill="1" applyBorder="1" applyAlignment="1" applyProtection="1">
      <alignment horizontal="center"/>
      <protection locked="0"/>
    </xf>
    <xf numFmtId="0" fontId="12" fillId="2" borderId="22" xfId="3" applyFont="1" applyFill="1" applyBorder="1" applyAlignment="1">
      <alignment horizontal="center"/>
    </xf>
    <xf numFmtId="0" fontId="12" fillId="2" borderId="25" xfId="3" applyFont="1" applyFill="1" applyBorder="1" applyAlignment="1">
      <alignment horizontal="center"/>
    </xf>
    <xf numFmtId="0" fontId="12" fillId="2" borderId="26" xfId="3" applyFont="1" applyFill="1" applyBorder="1" applyAlignment="1">
      <alignment horizontal="center"/>
    </xf>
    <xf numFmtId="0" fontId="12" fillId="2" borderId="27" xfId="3" applyFont="1" applyFill="1" applyBorder="1" applyAlignment="1">
      <alignment horizontal="center"/>
    </xf>
    <xf numFmtId="0" fontId="12" fillId="2" borderId="12" xfId="3" applyFont="1" applyFill="1" applyBorder="1" applyAlignment="1">
      <alignment horizontal="center"/>
    </xf>
    <xf numFmtId="0" fontId="11" fillId="2" borderId="28" xfId="3" applyFont="1" applyFill="1" applyBorder="1" applyAlignment="1">
      <alignment horizontal="center"/>
    </xf>
    <xf numFmtId="0" fontId="13" fillId="3" borderId="29" xfId="3" applyFont="1" applyFill="1" applyBorder="1" applyAlignment="1" applyProtection="1">
      <alignment horizontal="center"/>
      <protection locked="0"/>
    </xf>
    <xf numFmtId="171" fontId="11" fillId="2" borderId="26" xfId="3" applyNumberFormat="1" applyFont="1" applyFill="1" applyBorder="1" applyAlignment="1">
      <alignment horizontal="center"/>
    </xf>
    <xf numFmtId="171" fontId="11" fillId="2" borderId="30" xfId="3" applyNumberFormat="1" applyFont="1" applyFill="1" applyBorder="1" applyAlignment="1">
      <alignment horizontal="center"/>
    </xf>
    <xf numFmtId="0" fontId="18" fillId="2" borderId="13" xfId="3" applyFont="1" applyFill="1" applyBorder="1"/>
    <xf numFmtId="0" fontId="11" fillId="2" borderId="24" xfId="3" applyFont="1" applyFill="1" applyBorder="1" applyAlignment="1">
      <alignment horizontal="center"/>
    </xf>
    <xf numFmtId="0" fontId="13" fillId="3" borderId="23" xfId="3" applyFont="1" applyFill="1" applyBorder="1" applyAlignment="1" applyProtection="1">
      <alignment horizontal="center"/>
      <protection locked="0"/>
    </xf>
    <xf numFmtId="171" fontId="11" fillId="2" borderId="31" xfId="3" applyNumberFormat="1" applyFont="1" applyFill="1" applyBorder="1" applyAlignment="1">
      <alignment horizontal="center"/>
    </xf>
    <xf numFmtId="171" fontId="11" fillId="2" borderId="32" xfId="3" applyNumberFormat="1" applyFont="1" applyFill="1" applyBorder="1" applyAlignment="1">
      <alignment horizontal="center"/>
    </xf>
    <xf numFmtId="0" fontId="11" fillId="2" borderId="33" xfId="3" applyFont="1" applyFill="1" applyBorder="1" applyAlignment="1">
      <alignment horizontal="center"/>
    </xf>
    <xf numFmtId="0" fontId="13" fillId="3" borderId="34" xfId="3" applyFont="1" applyFill="1" applyBorder="1" applyAlignment="1" applyProtection="1">
      <alignment horizontal="center"/>
      <protection locked="0"/>
    </xf>
    <xf numFmtId="171" fontId="11" fillId="2" borderId="35" xfId="3" applyNumberFormat="1" applyFont="1" applyFill="1" applyBorder="1" applyAlignment="1">
      <alignment horizontal="center"/>
    </xf>
    <xf numFmtId="171" fontId="11" fillId="2" borderId="36" xfId="3" applyNumberFormat="1" applyFont="1" applyFill="1" applyBorder="1" applyAlignment="1">
      <alignment horizontal="center"/>
    </xf>
    <xf numFmtId="0" fontId="11" fillId="2" borderId="15" xfId="3" applyFont="1" applyFill="1" applyBorder="1"/>
    <xf numFmtId="0" fontId="11" fillId="2" borderId="24" xfId="3" applyFont="1" applyFill="1" applyBorder="1" applyAlignment="1">
      <alignment horizontal="right"/>
    </xf>
    <xf numFmtId="1" fontId="12" fillId="6" borderId="37" xfId="3" applyNumberFormat="1" applyFont="1" applyFill="1" applyBorder="1" applyAlignment="1">
      <alignment horizontal="center"/>
    </xf>
    <xf numFmtId="171" fontId="12" fillId="6" borderId="38" xfId="3" applyNumberFormat="1" applyFont="1" applyFill="1" applyBorder="1" applyAlignment="1">
      <alignment horizontal="center"/>
    </xf>
    <xf numFmtId="171" fontId="12" fillId="6" borderId="39" xfId="3" applyNumberFormat="1" applyFont="1" applyFill="1" applyBorder="1" applyAlignment="1">
      <alignment horizontal="center"/>
    </xf>
    <xf numFmtId="0" fontId="2" fillId="2" borderId="0" xfId="3" applyFont="1" applyFill="1" applyAlignment="1">
      <alignment horizontal="center"/>
    </xf>
    <xf numFmtId="0" fontId="11" fillId="2" borderId="40" xfId="3" applyFont="1" applyFill="1" applyBorder="1" applyAlignment="1">
      <alignment horizontal="right"/>
    </xf>
    <xf numFmtId="0" fontId="13" fillId="3" borderId="16" xfId="3" applyFont="1" applyFill="1" applyBorder="1" applyAlignment="1" applyProtection="1">
      <alignment horizontal="center"/>
      <protection locked="0"/>
    </xf>
    <xf numFmtId="0" fontId="11" fillId="2" borderId="11" xfId="3" applyFont="1" applyFill="1" applyBorder="1" applyAlignment="1">
      <alignment horizontal="right"/>
    </xf>
    <xf numFmtId="2" fontId="11" fillId="6" borderId="41" xfId="3" applyNumberFormat="1" applyFont="1" applyFill="1" applyBorder="1" applyAlignment="1">
      <alignment horizontal="center"/>
    </xf>
    <xf numFmtId="0" fontId="11" fillId="2" borderId="0" xfId="3" applyFont="1" applyFill="1" applyAlignment="1">
      <alignment horizontal="center"/>
    </xf>
    <xf numFmtId="2" fontId="11" fillId="7" borderId="41" xfId="3" applyNumberFormat="1" applyFont="1" applyFill="1" applyBorder="1" applyAlignment="1">
      <alignment horizontal="center"/>
    </xf>
    <xf numFmtId="2" fontId="11" fillId="2" borderId="0" xfId="3" applyNumberFormat="1" applyFont="1" applyFill="1" applyAlignment="1">
      <alignment horizontal="center"/>
    </xf>
    <xf numFmtId="166" fontId="11" fillId="6" borderId="41" xfId="3" applyNumberFormat="1" applyFont="1" applyFill="1" applyBorder="1" applyAlignment="1">
      <alignment horizontal="center"/>
    </xf>
    <xf numFmtId="166" fontId="11" fillId="2" borderId="0" xfId="3" applyNumberFormat="1" applyFont="1" applyFill="1" applyAlignment="1">
      <alignment horizontal="center"/>
    </xf>
    <xf numFmtId="166" fontId="11" fillId="6" borderId="17" xfId="3" applyNumberFormat="1" applyFont="1" applyFill="1" applyBorder="1" applyAlignment="1">
      <alignment horizontal="center"/>
    </xf>
    <xf numFmtId="0" fontId="11" fillId="2" borderId="42" xfId="3" applyFont="1" applyFill="1" applyBorder="1" applyAlignment="1">
      <alignment horizontal="right"/>
    </xf>
    <xf numFmtId="166" fontId="13" fillId="3" borderId="41" xfId="3" applyNumberFormat="1" applyFont="1" applyFill="1" applyBorder="1" applyAlignment="1" applyProtection="1">
      <alignment horizontal="center"/>
      <protection locked="0"/>
    </xf>
    <xf numFmtId="166" fontId="11" fillId="2" borderId="0" xfId="3" applyNumberFormat="1" applyFont="1" applyFill="1"/>
    <xf numFmtId="0" fontId="11" fillId="2" borderId="29" xfId="3" applyFont="1" applyFill="1" applyBorder="1" applyAlignment="1">
      <alignment horizontal="right"/>
    </xf>
    <xf numFmtId="1" fontId="11" fillId="2" borderId="0" xfId="3" applyNumberFormat="1" applyFont="1" applyFill="1" applyAlignment="1">
      <alignment horizontal="center"/>
    </xf>
    <xf numFmtId="0" fontId="11" fillId="2" borderId="15" xfId="3" applyFont="1" applyFill="1" applyBorder="1" applyAlignment="1">
      <alignment horizontal="right"/>
    </xf>
    <xf numFmtId="2" fontId="11" fillId="6" borderId="15" xfId="3" applyNumberFormat="1" applyFont="1" applyFill="1" applyBorder="1" applyAlignment="1">
      <alignment horizontal="center"/>
    </xf>
    <xf numFmtId="171" fontId="12" fillId="7" borderId="13" xfId="3" applyNumberFormat="1" applyFont="1" applyFill="1" applyBorder="1" applyAlignment="1">
      <alignment horizontal="center"/>
    </xf>
    <xf numFmtId="171" fontId="11" fillId="2" borderId="0" xfId="3" applyNumberFormat="1" applyFont="1" applyFill="1" applyAlignment="1">
      <alignment horizontal="center"/>
    </xf>
    <xf numFmtId="10" fontId="11" fillId="6" borderId="41" xfId="3" applyNumberFormat="1" applyFont="1" applyFill="1" applyBorder="1" applyAlignment="1">
      <alignment horizontal="center"/>
    </xf>
    <xf numFmtId="0" fontId="11" fillId="2" borderId="43" xfId="3" applyFont="1" applyFill="1" applyBorder="1" applyAlignment="1">
      <alignment horizontal="right"/>
    </xf>
    <xf numFmtId="0" fontId="11" fillId="7" borderId="15" xfId="3" applyFont="1" applyFill="1" applyBorder="1" applyAlignment="1">
      <alignment horizontal="center"/>
    </xf>
    <xf numFmtId="0" fontId="3" fillId="2" borderId="0" xfId="3" applyFont="1" applyFill="1"/>
    <xf numFmtId="0" fontId="12" fillId="2" borderId="0" xfId="3" applyFont="1" applyFill="1" applyAlignment="1">
      <alignment horizontal="left"/>
    </xf>
    <xf numFmtId="0" fontId="11" fillId="2" borderId="0" xfId="3" applyFont="1" applyFill="1" applyAlignment="1">
      <alignment horizontal="left"/>
    </xf>
    <xf numFmtId="172" fontId="13" fillId="3" borderId="0" xfId="3" applyNumberFormat="1" applyFont="1" applyFill="1" applyAlignment="1" applyProtection="1">
      <alignment horizontal="center"/>
      <protection locked="0"/>
    </xf>
    <xf numFmtId="166" fontId="12" fillId="2" borderId="0" xfId="3" applyNumberFormat="1" applyFont="1" applyFill="1" applyAlignment="1" applyProtection="1">
      <alignment horizontal="center"/>
      <protection locked="0"/>
    </xf>
    <xf numFmtId="2" fontId="12" fillId="2" borderId="13" xfId="3" applyNumberFormat="1" applyFont="1" applyFill="1" applyBorder="1" applyAlignment="1">
      <alignment horizontal="center"/>
    </xf>
    <xf numFmtId="0" fontId="12" fillId="2" borderId="13" xfId="3" applyFont="1" applyFill="1" applyBorder="1" applyAlignment="1">
      <alignment horizontal="center"/>
    </xf>
    <xf numFmtId="0" fontId="11" fillId="2" borderId="13" xfId="3" applyFont="1" applyFill="1" applyBorder="1" applyAlignment="1">
      <alignment horizontal="center"/>
    </xf>
    <xf numFmtId="0" fontId="13" fillId="3" borderId="21" xfId="3" applyFont="1" applyFill="1" applyBorder="1" applyAlignment="1" applyProtection="1">
      <alignment horizontal="center"/>
      <protection locked="0"/>
    </xf>
    <xf numFmtId="166" fontId="11" fillId="2" borderId="21" xfId="3" applyNumberFormat="1" applyFont="1" applyFill="1" applyBorder="1" applyAlignment="1">
      <alignment horizontal="center"/>
    </xf>
    <xf numFmtId="10" fontId="11" fillId="2" borderId="13" xfId="3" applyNumberFormat="1" applyFont="1" applyFill="1" applyBorder="1" applyAlignment="1">
      <alignment horizontal="center" vertical="center"/>
    </xf>
    <xf numFmtId="0" fontId="11" fillId="2" borderId="14" xfId="3" applyFont="1" applyFill="1" applyBorder="1" applyAlignment="1">
      <alignment horizontal="center"/>
    </xf>
    <xf numFmtId="166" fontId="11" fillId="2" borderId="23" xfId="3" applyNumberFormat="1" applyFont="1" applyFill="1" applyBorder="1" applyAlignment="1">
      <alignment horizontal="center"/>
    </xf>
    <xf numFmtId="10" fontId="11" fillId="2" borderId="14" xfId="3" applyNumberFormat="1" applyFont="1" applyFill="1" applyBorder="1" applyAlignment="1">
      <alignment horizontal="center" vertical="center"/>
    </xf>
    <xf numFmtId="1" fontId="13" fillId="3" borderId="23" xfId="3" applyNumberFormat="1" applyFont="1" applyFill="1" applyBorder="1" applyAlignment="1" applyProtection="1">
      <alignment horizontal="center"/>
      <protection locked="0"/>
    </xf>
    <xf numFmtId="0" fontId="11" fillId="2" borderId="15" xfId="3" applyFont="1" applyFill="1" applyBorder="1" applyAlignment="1">
      <alignment horizontal="center"/>
    </xf>
    <xf numFmtId="0" fontId="13" fillId="3" borderId="43" xfId="3" applyFont="1" applyFill="1" applyBorder="1" applyAlignment="1" applyProtection="1">
      <alignment horizontal="center"/>
      <protection locked="0"/>
    </xf>
    <xf numFmtId="166" fontId="11" fillId="2" borderId="13" xfId="3" applyNumberFormat="1" applyFont="1" applyFill="1" applyBorder="1" applyAlignment="1">
      <alignment horizontal="center"/>
    </xf>
    <xf numFmtId="10" fontId="11" fillId="2" borderId="22" xfId="3" applyNumberFormat="1" applyFont="1" applyFill="1" applyBorder="1" applyAlignment="1">
      <alignment horizontal="center" vertical="center"/>
    </xf>
    <xf numFmtId="166" fontId="11" fillId="2" borderId="14" xfId="3" applyNumberFormat="1" applyFont="1" applyFill="1" applyBorder="1" applyAlignment="1">
      <alignment horizontal="center"/>
    </xf>
    <xf numFmtId="10" fontId="11" fillId="2" borderId="24" xfId="3" applyNumberFormat="1" applyFont="1" applyFill="1" applyBorder="1" applyAlignment="1">
      <alignment horizontal="center" vertical="center"/>
    </xf>
    <xf numFmtId="166" fontId="11" fillId="2" borderId="15" xfId="3" applyNumberFormat="1" applyFont="1" applyFill="1" applyBorder="1" applyAlignment="1">
      <alignment horizontal="center"/>
    </xf>
    <xf numFmtId="10" fontId="11" fillId="2" borderId="44" xfId="3" applyNumberFormat="1" applyFont="1" applyFill="1" applyBorder="1" applyAlignment="1">
      <alignment horizontal="center" vertical="center"/>
    </xf>
    <xf numFmtId="0" fontId="14" fillId="2" borderId="24" xfId="3" applyFont="1" applyFill="1" applyBorder="1" applyAlignment="1">
      <alignment horizontal="center"/>
    </xf>
    <xf numFmtId="2" fontId="14" fillId="2" borderId="44" xfId="3" applyNumberFormat="1" applyFont="1" applyFill="1" applyBorder="1" applyAlignment="1">
      <alignment horizontal="center"/>
    </xf>
    <xf numFmtId="10" fontId="11" fillId="2" borderId="15" xfId="3" applyNumberFormat="1" applyFont="1" applyFill="1" applyBorder="1" applyAlignment="1">
      <alignment horizontal="center" vertical="center"/>
    </xf>
    <xf numFmtId="0" fontId="11" fillId="2" borderId="45" xfId="3" applyFont="1" applyFill="1" applyBorder="1" applyAlignment="1">
      <alignment horizontal="right"/>
    </xf>
    <xf numFmtId="2" fontId="13" fillId="7" borderId="33" xfId="3" applyNumberFormat="1" applyFont="1" applyFill="1" applyBorder="1" applyAlignment="1">
      <alignment horizontal="center"/>
    </xf>
    <xf numFmtId="10" fontId="13" fillId="7" borderId="33" xfId="3" applyNumberFormat="1" applyFont="1" applyFill="1" applyBorder="1" applyAlignment="1">
      <alignment horizontal="center"/>
    </xf>
    <xf numFmtId="0" fontId="11" fillId="2" borderId="41" xfId="3" applyFont="1" applyFill="1" applyBorder="1" applyAlignment="1">
      <alignment horizontal="right"/>
    </xf>
    <xf numFmtId="10" fontId="13" fillId="6" borderId="57" xfId="3" applyNumberFormat="1" applyFont="1" applyFill="1" applyBorder="1" applyAlignment="1">
      <alignment horizontal="center"/>
    </xf>
    <xf numFmtId="0" fontId="11" fillId="2" borderId="17" xfId="3" applyFont="1" applyFill="1" applyBorder="1" applyAlignment="1">
      <alignment horizontal="right"/>
    </xf>
    <xf numFmtId="0" fontId="13" fillId="7" borderId="46" xfId="3" applyFont="1" applyFill="1" applyBorder="1" applyAlignment="1">
      <alignment horizontal="center"/>
    </xf>
    <xf numFmtId="165" fontId="13" fillId="2" borderId="0" xfId="3" applyNumberFormat="1" applyFont="1" applyFill="1" applyAlignment="1">
      <alignment horizontal="center"/>
    </xf>
    <xf numFmtId="0" fontId="12" fillId="2" borderId="47" xfId="3" applyFont="1" applyFill="1" applyBorder="1" applyAlignment="1">
      <alignment horizontal="center"/>
    </xf>
    <xf numFmtId="0" fontId="12" fillId="2" borderId="40" xfId="3" applyFont="1" applyFill="1" applyBorder="1" applyAlignment="1">
      <alignment horizontal="center"/>
    </xf>
    <xf numFmtId="0" fontId="12" fillId="2" borderId="10" xfId="3" applyFont="1" applyFill="1" applyBorder="1" applyAlignment="1">
      <alignment horizontal="center"/>
    </xf>
    <xf numFmtId="0" fontId="12" fillId="2" borderId="30" xfId="3" applyFont="1" applyFill="1" applyBorder="1" applyAlignment="1">
      <alignment horizontal="center"/>
    </xf>
    <xf numFmtId="0" fontId="11" fillId="2" borderId="48" xfId="3" applyFont="1" applyFill="1" applyBorder="1" applyAlignment="1">
      <alignment horizontal="center"/>
    </xf>
    <xf numFmtId="0" fontId="11" fillId="2" borderId="7" xfId="3" applyFont="1" applyFill="1" applyBorder="1" applyAlignment="1">
      <alignment horizontal="center"/>
    </xf>
    <xf numFmtId="171" fontId="13" fillId="3" borderId="34" xfId="3" applyNumberFormat="1" applyFont="1" applyFill="1" applyBorder="1" applyAlignment="1" applyProtection="1">
      <alignment horizontal="center"/>
      <protection locked="0"/>
    </xf>
    <xf numFmtId="1" fontId="12" fillId="6" borderId="49" xfId="3" applyNumberFormat="1" applyFont="1" applyFill="1" applyBorder="1" applyAlignment="1">
      <alignment horizontal="center"/>
    </xf>
    <xf numFmtId="1" fontId="12" fillId="6" borderId="50" xfId="3" applyNumberFormat="1" applyFont="1" applyFill="1" applyBorder="1" applyAlignment="1">
      <alignment horizontal="center"/>
    </xf>
    <xf numFmtId="171" fontId="12" fillId="6" borderId="15" xfId="3" applyNumberFormat="1" applyFont="1" applyFill="1" applyBorder="1" applyAlignment="1">
      <alignment horizontal="center"/>
    </xf>
    <xf numFmtId="0" fontId="11" fillId="2" borderId="51" xfId="3" applyFont="1" applyFill="1" applyBorder="1" applyAlignment="1">
      <alignment horizontal="right"/>
    </xf>
    <xf numFmtId="0" fontId="13" fillId="3" borderId="52" xfId="3" applyFont="1" applyFill="1" applyBorder="1" applyAlignment="1" applyProtection="1">
      <alignment horizontal="center"/>
      <protection locked="0"/>
    </xf>
    <xf numFmtId="0" fontId="11" fillId="2" borderId="25" xfId="3" applyFont="1" applyFill="1" applyBorder="1" applyAlignment="1">
      <alignment horizontal="right"/>
    </xf>
    <xf numFmtId="2" fontId="11" fillId="6" borderId="27" xfId="3" applyNumberFormat="1" applyFont="1" applyFill="1" applyBorder="1" applyAlignment="1">
      <alignment horizontal="center"/>
    </xf>
    <xf numFmtId="2" fontId="11" fillId="7" borderId="27" xfId="3" applyNumberFormat="1" applyFont="1" applyFill="1" applyBorder="1" applyAlignment="1">
      <alignment horizontal="center"/>
    </xf>
    <xf numFmtId="166" fontId="11" fillId="6" borderId="27" xfId="3" applyNumberFormat="1" applyFont="1" applyFill="1" applyBorder="1" applyAlignment="1">
      <alignment horizontal="center"/>
    </xf>
    <xf numFmtId="166" fontId="11" fillId="7" borderId="27" xfId="3" applyNumberFormat="1" applyFont="1" applyFill="1" applyBorder="1" applyAlignment="1">
      <alignment horizontal="center"/>
    </xf>
    <xf numFmtId="2" fontId="2" fillId="2" borderId="0" xfId="3" applyNumberFormat="1" applyFont="1" applyFill="1" applyAlignment="1">
      <alignment horizontal="center"/>
    </xf>
    <xf numFmtId="0" fontId="11" fillId="2" borderId="53" xfId="3" applyFont="1" applyFill="1" applyBorder="1" applyAlignment="1">
      <alignment horizontal="right"/>
    </xf>
    <xf numFmtId="2" fontId="11" fillId="7" borderId="30" xfId="3" applyNumberFormat="1" applyFont="1" applyFill="1" applyBorder="1" applyAlignment="1">
      <alignment horizontal="center"/>
    </xf>
    <xf numFmtId="0" fontId="12" fillId="2" borderId="0" xfId="3" applyFont="1" applyFill="1" applyAlignment="1">
      <alignment horizontal="center" wrapText="1"/>
    </xf>
    <xf numFmtId="0" fontId="11" fillId="2" borderId="16" xfId="3" applyFont="1" applyFill="1" applyBorder="1" applyAlignment="1">
      <alignment horizontal="right"/>
    </xf>
    <xf numFmtId="171" fontId="12" fillId="7" borderId="16" xfId="3" applyNumberFormat="1" applyFont="1" applyFill="1" applyBorder="1" applyAlignment="1">
      <alignment horizontal="center"/>
    </xf>
    <xf numFmtId="10" fontId="11" fillId="2" borderId="0" xfId="3" applyNumberFormat="1" applyFont="1" applyFill="1" applyAlignment="1">
      <alignment horizontal="center"/>
    </xf>
    <xf numFmtId="10" fontId="12" fillId="6" borderId="41" xfId="3" applyNumberFormat="1" applyFont="1" applyFill="1" applyBorder="1" applyAlignment="1">
      <alignment horizontal="center"/>
    </xf>
    <xf numFmtId="0" fontId="12" fillId="7" borderId="17" xfId="3" applyFont="1" applyFill="1" applyBorder="1" applyAlignment="1">
      <alignment horizontal="center"/>
    </xf>
    <xf numFmtId="0" fontId="12" fillId="2" borderId="54" xfId="3" applyFont="1" applyFill="1" applyBorder="1" applyAlignment="1">
      <alignment horizontal="center"/>
    </xf>
    <xf numFmtId="0" fontId="12" fillId="2" borderId="55" xfId="3" applyFont="1" applyFill="1" applyBorder="1" applyAlignment="1">
      <alignment horizontal="center"/>
    </xf>
    <xf numFmtId="0" fontId="12" fillId="2" borderId="22" xfId="3" applyFont="1" applyFill="1" applyBorder="1" applyAlignment="1">
      <alignment horizontal="center" wrapText="1"/>
    </xf>
    <xf numFmtId="0" fontId="11" fillId="2" borderId="23" xfId="3" applyFont="1" applyFill="1" applyBorder="1" applyAlignment="1">
      <alignment horizontal="center"/>
    </xf>
    <xf numFmtId="1" fontId="13" fillId="3" borderId="31" xfId="3" applyNumberFormat="1" applyFont="1" applyFill="1" applyBorder="1" applyAlignment="1" applyProtection="1">
      <alignment horizontal="center"/>
      <protection locked="0"/>
    </xf>
    <xf numFmtId="166" fontId="11" fillId="2" borderId="26" xfId="3" applyNumberFormat="1" applyFont="1" applyFill="1" applyBorder="1" applyAlignment="1">
      <alignment horizontal="center"/>
    </xf>
    <xf numFmtId="10" fontId="11" fillId="2" borderId="30" xfId="3" applyNumberFormat="1" applyFont="1" applyFill="1" applyBorder="1" applyAlignment="1">
      <alignment horizontal="center"/>
    </xf>
    <xf numFmtId="166" fontId="11" fillId="2" borderId="31" xfId="3" applyNumberFormat="1" applyFont="1" applyFill="1" applyBorder="1" applyAlignment="1">
      <alignment horizontal="center"/>
    </xf>
    <xf numFmtId="10" fontId="11" fillId="2" borderId="32" xfId="3" applyNumberFormat="1" applyFont="1" applyFill="1" applyBorder="1" applyAlignment="1">
      <alignment horizontal="center"/>
    </xf>
    <xf numFmtId="0" fontId="11" fillId="2" borderId="34" xfId="3" applyFont="1" applyFill="1" applyBorder="1" applyAlignment="1">
      <alignment horizontal="center"/>
    </xf>
    <xf numFmtId="1" fontId="13" fillId="3" borderId="35" xfId="3" applyNumberFormat="1" applyFont="1" applyFill="1" applyBorder="1" applyAlignment="1" applyProtection="1">
      <alignment horizontal="center"/>
      <protection locked="0"/>
    </xf>
    <xf numFmtId="166" fontId="11" fillId="2" borderId="35" xfId="3" applyNumberFormat="1" applyFont="1" applyFill="1" applyBorder="1" applyAlignment="1">
      <alignment horizontal="center"/>
    </xf>
    <xf numFmtId="10" fontId="11" fillId="2" borderId="36" xfId="3" applyNumberFormat="1" applyFont="1" applyFill="1" applyBorder="1" applyAlignment="1">
      <alignment horizontal="center"/>
    </xf>
    <xf numFmtId="2" fontId="11" fillId="2" borderId="24" xfId="3" applyNumberFormat="1" applyFont="1" applyFill="1" applyBorder="1" applyAlignment="1">
      <alignment horizontal="center"/>
    </xf>
    <xf numFmtId="171" fontId="11" fillId="2" borderId="2" xfId="3" applyNumberFormat="1" applyFont="1" applyFill="1" applyBorder="1" applyAlignment="1">
      <alignment horizontal="right"/>
    </xf>
    <xf numFmtId="2" fontId="13" fillId="7" borderId="27" xfId="3" applyNumberFormat="1" applyFont="1" applyFill="1" applyBorder="1" applyAlignment="1">
      <alignment horizontal="center"/>
    </xf>
    <xf numFmtId="10" fontId="13" fillId="7" borderId="27" xfId="3" applyNumberFormat="1" applyFont="1" applyFill="1" applyBorder="1" applyAlignment="1">
      <alignment horizontal="center"/>
    </xf>
    <xf numFmtId="0" fontId="11" fillId="2" borderId="23" xfId="3" applyFont="1" applyFill="1" applyBorder="1"/>
    <xf numFmtId="10" fontId="13" fillId="6" borderId="27" xfId="3" applyNumberFormat="1" applyFont="1" applyFill="1" applyBorder="1" applyAlignment="1">
      <alignment horizontal="center"/>
    </xf>
    <xf numFmtId="0" fontId="11" fillId="2" borderId="43" xfId="3" applyFont="1" applyFill="1" applyBorder="1"/>
    <xf numFmtId="0" fontId="11" fillId="2" borderId="56" xfId="3" applyFont="1" applyFill="1" applyBorder="1" applyAlignment="1">
      <alignment horizontal="right"/>
    </xf>
    <xf numFmtId="0" fontId="13" fillId="7" borderId="17" xfId="3" applyFont="1" applyFill="1" applyBorder="1" applyAlignment="1">
      <alignment horizontal="center"/>
    </xf>
    <xf numFmtId="0" fontId="19" fillId="2" borderId="0" xfId="3" applyFont="1" applyFill="1" applyAlignment="1">
      <alignment horizontal="right" vertical="center" wrapText="1"/>
    </xf>
    <xf numFmtId="0" fontId="19" fillId="2" borderId="9" xfId="3" applyFont="1" applyFill="1" applyBorder="1" applyAlignment="1">
      <alignment horizontal="left" vertical="center" wrapText="1"/>
    </xf>
    <xf numFmtId="0" fontId="11" fillId="2" borderId="9" xfId="3" applyFont="1" applyFill="1" applyBorder="1"/>
    <xf numFmtId="0" fontId="11" fillId="2" borderId="10" xfId="3" applyFont="1" applyFill="1" applyBorder="1" applyAlignment="1">
      <alignment horizontal="center"/>
    </xf>
    <xf numFmtId="0" fontId="11" fillId="2" borderId="7" xfId="3" applyFont="1" applyFill="1" applyBorder="1"/>
    <xf numFmtId="0" fontId="12" fillId="2" borderId="11" xfId="3" applyFont="1" applyFill="1" applyBorder="1"/>
    <xf numFmtId="0" fontId="11" fillId="2" borderId="11" xfId="3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0" fillId="2" borderId="10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58" xfId="1" applyFont="1" applyFill="1" applyBorder="1" applyAlignment="1">
      <alignment horizontal="center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0" xfId="1" applyFont="1" applyFill="1" applyAlignment="1">
      <alignment horizontal="center"/>
    </xf>
    <xf numFmtId="0" fontId="19" fillId="2" borderId="10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2" fillId="2" borderId="10" xfId="1" applyFont="1" applyFill="1" applyBorder="1" applyAlignment="1">
      <alignment horizontal="center"/>
    </xf>
    <xf numFmtId="0" fontId="19" fillId="2" borderId="18" xfId="2" applyFont="1" applyFill="1" applyBorder="1" applyAlignment="1">
      <alignment horizontal="left" vertical="center" wrapText="1"/>
    </xf>
    <xf numFmtId="0" fontId="19" fillId="2" borderId="19" xfId="2" applyFont="1" applyFill="1" applyBorder="1" applyAlignment="1">
      <alignment horizontal="left" vertical="center" wrapText="1"/>
    </xf>
    <xf numFmtId="0" fontId="19" fillId="2" borderId="20" xfId="2" applyFont="1" applyFill="1" applyBorder="1" applyAlignment="1">
      <alignment horizontal="left" vertical="center" wrapText="1"/>
    </xf>
    <xf numFmtId="0" fontId="21" fillId="2" borderId="0" xfId="2" applyFont="1" applyFill="1" applyAlignment="1">
      <alignment horizontal="center" vertical="center"/>
    </xf>
    <xf numFmtId="0" fontId="22" fillId="2" borderId="0" xfId="2" applyFont="1" applyFill="1" applyAlignment="1">
      <alignment horizontal="center" vertical="center"/>
    </xf>
    <xf numFmtId="0" fontId="19" fillId="2" borderId="18" xfId="2" applyFont="1" applyFill="1" applyBorder="1" applyAlignment="1">
      <alignment horizontal="center"/>
    </xf>
    <xf numFmtId="0" fontId="19" fillId="2" borderId="19" xfId="2" applyFont="1" applyFill="1" applyBorder="1" applyAlignment="1">
      <alignment horizontal="center"/>
    </xf>
    <xf numFmtId="0" fontId="19" fillId="2" borderId="20" xfId="2" applyFont="1" applyFill="1" applyBorder="1" applyAlignment="1">
      <alignment horizontal="center"/>
    </xf>
    <xf numFmtId="0" fontId="20" fillId="2" borderId="10" xfId="2" applyFont="1" applyFill="1" applyBorder="1" applyAlignment="1">
      <alignment horizontal="center" vertical="center"/>
    </xf>
    <xf numFmtId="0" fontId="13" fillId="3" borderId="0" xfId="2" applyFont="1" applyFill="1" applyAlignment="1" applyProtection="1">
      <alignment horizontal="left" wrapText="1"/>
      <protection locked="0"/>
    </xf>
    <xf numFmtId="0" fontId="14" fillId="3" borderId="0" xfId="2" applyFont="1" applyFill="1" applyAlignment="1" applyProtection="1">
      <alignment horizontal="left" wrapText="1"/>
      <protection locked="0"/>
    </xf>
    <xf numFmtId="0" fontId="14" fillId="3" borderId="0" xfId="2" applyFont="1" applyFill="1" applyAlignment="1" applyProtection="1">
      <alignment horizontal="left"/>
      <protection locked="0"/>
    </xf>
    <xf numFmtId="0" fontId="19" fillId="2" borderId="18" xfId="2" applyFont="1" applyFill="1" applyBorder="1" applyAlignment="1">
      <alignment horizontal="justify" vertical="center" wrapText="1"/>
    </xf>
    <xf numFmtId="0" fontId="19" fillId="2" borderId="19" xfId="2" applyFont="1" applyFill="1" applyBorder="1" applyAlignment="1">
      <alignment horizontal="justify" vertical="center" wrapText="1"/>
    </xf>
    <xf numFmtId="0" fontId="19" fillId="2" borderId="20" xfId="2" applyFont="1" applyFill="1" applyBorder="1" applyAlignment="1">
      <alignment horizontal="justify" vertical="center" wrapText="1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58" xfId="2" applyFont="1" applyFill="1" applyBorder="1" applyAlignment="1">
      <alignment horizontal="center"/>
    </xf>
    <xf numFmtId="10" fontId="15" fillId="2" borderId="14" xfId="2" applyNumberFormat="1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left" vertical="center" wrapText="1"/>
    </xf>
    <xf numFmtId="0" fontId="19" fillId="2" borderId="22" xfId="2" applyFont="1" applyFill="1" applyBorder="1" applyAlignment="1">
      <alignment horizontal="left" vertical="center" wrapText="1"/>
    </xf>
    <xf numFmtId="0" fontId="19" fillId="2" borderId="43" xfId="2" applyFont="1" applyFill="1" applyBorder="1" applyAlignment="1">
      <alignment horizontal="left" vertical="center" wrapText="1"/>
    </xf>
    <xf numFmtId="0" fontId="19" fillId="2" borderId="44" xfId="2" applyFont="1" applyFill="1" applyBorder="1" applyAlignment="1">
      <alignment horizontal="left" vertical="center" wrapText="1"/>
    </xf>
    <xf numFmtId="0" fontId="12" fillId="2" borderId="10" xfId="2" applyFont="1" applyFill="1" applyBorder="1" applyAlignment="1">
      <alignment horizontal="center" vertical="center"/>
    </xf>
    <xf numFmtId="0" fontId="12" fillId="2" borderId="0" xfId="2" applyFont="1" applyFill="1" applyAlignment="1">
      <alignment horizontal="center" vertical="center"/>
    </xf>
    <xf numFmtId="0" fontId="12" fillId="2" borderId="9" xfId="2" applyFont="1" applyFill="1" applyBorder="1" applyAlignment="1">
      <alignment horizontal="center" vertical="center"/>
    </xf>
    <xf numFmtId="2" fontId="13" fillId="3" borderId="13" xfId="2" applyNumberFormat="1" applyFont="1" applyFill="1" applyBorder="1" applyAlignment="1" applyProtection="1">
      <alignment horizontal="center" vertical="center"/>
      <protection locked="0"/>
    </xf>
    <xf numFmtId="2" fontId="13" fillId="3" borderId="14" xfId="2" applyNumberFormat="1" applyFont="1" applyFill="1" applyBorder="1" applyAlignment="1" applyProtection="1">
      <alignment horizontal="center" vertical="center"/>
      <protection locked="0"/>
    </xf>
    <xf numFmtId="2" fontId="13" fillId="3" borderId="15" xfId="2" applyNumberFormat="1" applyFont="1" applyFill="1" applyBorder="1" applyAlignment="1" applyProtection="1">
      <alignment horizontal="center" vertical="center"/>
      <protection locked="0"/>
    </xf>
    <xf numFmtId="0" fontId="12" fillId="2" borderId="43" xfId="2" applyFont="1" applyFill="1" applyBorder="1" applyAlignment="1">
      <alignment horizontal="center" vertical="center"/>
    </xf>
    <xf numFmtId="0" fontId="13" fillId="3" borderId="0" xfId="2" applyFont="1" applyFill="1" applyAlignment="1" applyProtection="1">
      <alignment horizontal="left"/>
      <protection locked="0"/>
    </xf>
    <xf numFmtId="0" fontId="19" fillId="2" borderId="21" xfId="2" applyFont="1" applyFill="1" applyBorder="1" applyAlignment="1">
      <alignment horizontal="center" vertical="center" wrapText="1"/>
    </xf>
    <xf numFmtId="0" fontId="19" fillId="2" borderId="22" xfId="2" applyFont="1" applyFill="1" applyBorder="1" applyAlignment="1">
      <alignment horizontal="center" vertical="center" wrapText="1"/>
    </xf>
    <xf numFmtId="0" fontId="19" fillId="2" borderId="43" xfId="2" applyFont="1" applyFill="1" applyBorder="1" applyAlignment="1">
      <alignment horizontal="center" vertical="center" wrapText="1"/>
    </xf>
    <xf numFmtId="0" fontId="19" fillId="2" borderId="44" xfId="2" applyFont="1" applyFill="1" applyBorder="1" applyAlignment="1">
      <alignment horizontal="center" vertical="center" wrapText="1"/>
    </xf>
    <xf numFmtId="0" fontId="12" fillId="2" borderId="0" xfId="2" applyFont="1" applyFill="1" applyAlignment="1">
      <alignment horizontal="center"/>
    </xf>
    <xf numFmtId="0" fontId="19" fillId="2" borderId="10" xfId="2" applyFont="1" applyFill="1" applyBorder="1" applyAlignment="1">
      <alignment horizontal="left" vertical="center" wrapText="1"/>
    </xf>
    <xf numFmtId="0" fontId="19" fillId="2" borderId="9" xfId="2" applyFont="1" applyFill="1" applyBorder="1" applyAlignment="1">
      <alignment horizontal="left" vertical="center" wrapText="1"/>
    </xf>
    <xf numFmtId="0" fontId="12" fillId="2" borderId="10" xfId="2" applyFont="1" applyFill="1" applyBorder="1" applyAlignment="1">
      <alignment horizontal="center"/>
    </xf>
    <xf numFmtId="0" fontId="19" fillId="2" borderId="18" xfId="3" applyFont="1" applyFill="1" applyBorder="1" applyAlignment="1">
      <alignment horizontal="left" vertical="center" wrapText="1"/>
    </xf>
    <xf numFmtId="0" fontId="19" fillId="2" borderId="19" xfId="3" applyFont="1" applyFill="1" applyBorder="1" applyAlignment="1">
      <alignment horizontal="left" vertical="center" wrapText="1"/>
    </xf>
    <xf numFmtId="0" fontId="19" fillId="2" borderId="20" xfId="3" applyFont="1" applyFill="1" applyBorder="1" applyAlignment="1">
      <alignment horizontal="left" vertical="center" wrapText="1"/>
    </xf>
    <xf numFmtId="0" fontId="21" fillId="2" borderId="0" xfId="3" applyFont="1" applyFill="1" applyAlignment="1">
      <alignment horizontal="center" vertical="center"/>
    </xf>
    <xf numFmtId="0" fontId="22" fillId="2" borderId="0" xfId="3" applyFont="1" applyFill="1" applyAlignment="1">
      <alignment horizontal="center" vertical="center"/>
    </xf>
    <xf numFmtId="0" fontId="19" fillId="2" borderId="18" xfId="3" applyFont="1" applyFill="1" applyBorder="1" applyAlignment="1">
      <alignment horizontal="center"/>
    </xf>
    <xf numFmtId="0" fontId="19" fillId="2" borderId="19" xfId="3" applyFont="1" applyFill="1" applyBorder="1" applyAlignment="1">
      <alignment horizontal="center"/>
    </xf>
    <xf numFmtId="0" fontId="19" fillId="2" borderId="20" xfId="3" applyFont="1" applyFill="1" applyBorder="1" applyAlignment="1">
      <alignment horizontal="center"/>
    </xf>
    <xf numFmtId="0" fontId="20" fillId="2" borderId="10" xfId="3" applyFont="1" applyFill="1" applyBorder="1" applyAlignment="1">
      <alignment horizontal="center" vertical="center"/>
    </xf>
    <xf numFmtId="0" fontId="13" fillId="3" borderId="0" xfId="3" applyFont="1" applyFill="1" applyAlignment="1" applyProtection="1">
      <alignment horizontal="left" wrapText="1"/>
      <protection locked="0"/>
    </xf>
    <xf numFmtId="0" fontId="14" fillId="3" borderId="0" xfId="3" applyFont="1" applyFill="1" applyAlignment="1" applyProtection="1">
      <alignment horizontal="left" wrapText="1"/>
      <protection locked="0"/>
    </xf>
    <xf numFmtId="0" fontId="14" fillId="3" borderId="0" xfId="3" applyFont="1" applyFill="1" applyAlignment="1" applyProtection="1">
      <alignment horizontal="left"/>
      <protection locked="0"/>
    </xf>
    <xf numFmtId="0" fontId="19" fillId="2" borderId="18" xfId="3" applyFont="1" applyFill="1" applyBorder="1" applyAlignment="1">
      <alignment horizontal="justify" vertical="center" wrapText="1"/>
    </xf>
    <xf numFmtId="0" fontId="19" fillId="2" borderId="19" xfId="3" applyFont="1" applyFill="1" applyBorder="1" applyAlignment="1">
      <alignment horizontal="justify" vertical="center" wrapText="1"/>
    </xf>
    <xf numFmtId="0" fontId="19" fillId="2" borderId="20" xfId="3" applyFont="1" applyFill="1" applyBorder="1" applyAlignment="1">
      <alignment horizontal="justify" vertical="center" wrapText="1"/>
    </xf>
    <xf numFmtId="0" fontId="12" fillId="2" borderId="47" xfId="3" applyFont="1" applyFill="1" applyBorder="1" applyAlignment="1">
      <alignment horizontal="center"/>
    </xf>
    <xf numFmtId="0" fontId="12" fillId="2" borderId="40" xfId="3" applyFont="1" applyFill="1" applyBorder="1" applyAlignment="1">
      <alignment horizontal="center"/>
    </xf>
    <xf numFmtId="0" fontId="12" fillId="2" borderId="58" xfId="3" applyFont="1" applyFill="1" applyBorder="1" applyAlignment="1">
      <alignment horizontal="center"/>
    </xf>
    <xf numFmtId="10" fontId="15" fillId="2" borderId="14" xfId="3" applyNumberFormat="1" applyFont="1" applyFill="1" applyBorder="1" applyAlignment="1">
      <alignment horizontal="center" vertical="center"/>
    </xf>
    <xf numFmtId="0" fontId="19" fillId="2" borderId="21" xfId="3" applyFont="1" applyFill="1" applyBorder="1" applyAlignment="1">
      <alignment horizontal="left" vertical="center" wrapText="1"/>
    </xf>
    <xf numFmtId="0" fontId="19" fillId="2" borderId="22" xfId="3" applyFont="1" applyFill="1" applyBorder="1" applyAlignment="1">
      <alignment horizontal="left" vertical="center" wrapText="1"/>
    </xf>
    <xf numFmtId="0" fontId="19" fillId="2" borderId="43" xfId="3" applyFont="1" applyFill="1" applyBorder="1" applyAlignment="1">
      <alignment horizontal="left" vertical="center" wrapText="1"/>
    </xf>
    <xf numFmtId="0" fontId="19" fillId="2" borderId="44" xfId="3" applyFont="1" applyFill="1" applyBorder="1" applyAlignment="1">
      <alignment horizontal="left" vertical="center" wrapText="1"/>
    </xf>
    <xf numFmtId="0" fontId="12" fillId="2" borderId="10" xfId="3" applyFont="1" applyFill="1" applyBorder="1" applyAlignment="1">
      <alignment horizontal="center" vertical="center"/>
    </xf>
    <xf numFmtId="0" fontId="12" fillId="2" borderId="0" xfId="3" applyFont="1" applyFill="1" applyAlignment="1">
      <alignment horizontal="center" vertical="center"/>
    </xf>
    <xf numFmtId="0" fontId="12" fillId="2" borderId="9" xfId="3" applyFont="1" applyFill="1" applyBorder="1" applyAlignment="1">
      <alignment horizontal="center" vertical="center"/>
    </xf>
    <xf numFmtId="2" fontId="13" fillId="3" borderId="13" xfId="3" applyNumberFormat="1" applyFont="1" applyFill="1" applyBorder="1" applyAlignment="1" applyProtection="1">
      <alignment horizontal="center" vertical="center"/>
      <protection locked="0"/>
    </xf>
    <xf numFmtId="2" fontId="13" fillId="3" borderId="14" xfId="3" applyNumberFormat="1" applyFont="1" applyFill="1" applyBorder="1" applyAlignment="1" applyProtection="1">
      <alignment horizontal="center" vertical="center"/>
      <protection locked="0"/>
    </xf>
    <xf numFmtId="2" fontId="13" fillId="3" borderId="15" xfId="3" applyNumberFormat="1" applyFont="1" applyFill="1" applyBorder="1" applyAlignment="1" applyProtection="1">
      <alignment horizontal="center" vertical="center"/>
      <protection locked="0"/>
    </xf>
    <xf numFmtId="0" fontId="12" fillId="2" borderId="43" xfId="3" applyFont="1" applyFill="1" applyBorder="1" applyAlignment="1">
      <alignment horizontal="center" vertical="center"/>
    </xf>
    <xf numFmtId="0" fontId="13" fillId="3" borderId="0" xfId="3" applyFont="1" applyFill="1" applyAlignment="1" applyProtection="1">
      <alignment horizontal="left"/>
      <protection locked="0"/>
    </xf>
    <xf numFmtId="0" fontId="19" fillId="2" borderId="21" xfId="3" applyFont="1" applyFill="1" applyBorder="1" applyAlignment="1">
      <alignment horizontal="center" vertical="center" wrapText="1"/>
    </xf>
    <xf numFmtId="0" fontId="19" fillId="2" borderId="22" xfId="3" applyFont="1" applyFill="1" applyBorder="1" applyAlignment="1">
      <alignment horizontal="center" vertical="center" wrapText="1"/>
    </xf>
    <xf numFmtId="0" fontId="19" fillId="2" borderId="43" xfId="3" applyFont="1" applyFill="1" applyBorder="1" applyAlignment="1">
      <alignment horizontal="center" vertical="center" wrapText="1"/>
    </xf>
    <xf numFmtId="0" fontId="19" fillId="2" borderId="44" xfId="3" applyFont="1" applyFill="1" applyBorder="1" applyAlignment="1">
      <alignment horizontal="center" vertical="center" wrapText="1"/>
    </xf>
    <xf numFmtId="0" fontId="12" fillId="2" borderId="0" xfId="3" applyFont="1" applyFill="1" applyAlignment="1">
      <alignment horizontal="center"/>
    </xf>
    <xf numFmtId="0" fontId="19" fillId="2" borderId="10" xfId="3" applyFont="1" applyFill="1" applyBorder="1" applyAlignment="1">
      <alignment horizontal="left" vertical="center" wrapText="1"/>
    </xf>
    <xf numFmtId="0" fontId="19" fillId="2" borderId="9" xfId="3" applyFont="1" applyFill="1" applyBorder="1" applyAlignment="1">
      <alignment horizontal="left" vertical="center" wrapText="1"/>
    </xf>
    <xf numFmtId="0" fontId="12" fillId="2" borderId="10" xfId="3" applyFont="1" applyFill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1" workbookViewId="0">
      <selection activeCell="B42" sqref="B42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7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586" t="s">
        <v>0</v>
      </c>
      <c r="B15" s="586"/>
      <c r="C15" s="586"/>
      <c r="D15" s="586"/>
      <c r="E15" s="586"/>
    </row>
    <row r="16" spans="1:6" ht="16.5" customHeight="1" x14ac:dyDescent="0.3">
      <c r="A16" s="51" t="s">
        <v>1</v>
      </c>
      <c r="B16" s="52" t="s">
        <v>2</v>
      </c>
    </row>
    <row r="17" spans="1:5" ht="16.5" customHeight="1" x14ac:dyDescent="0.3">
      <c r="A17" s="53" t="s">
        <v>3</v>
      </c>
      <c r="B17" s="53" t="s">
        <v>7</v>
      </c>
      <c r="D17" s="54"/>
      <c r="E17" s="55"/>
    </row>
    <row r="18" spans="1:5" ht="16.5" customHeight="1" x14ac:dyDescent="0.3">
      <c r="A18" s="56" t="s">
        <v>4</v>
      </c>
      <c r="B18" s="53" t="s">
        <v>133</v>
      </c>
      <c r="C18" s="55"/>
      <c r="D18" s="55"/>
      <c r="E18" s="55"/>
    </row>
    <row r="19" spans="1:5" ht="16.5" customHeight="1" x14ac:dyDescent="0.3">
      <c r="A19" s="56" t="s">
        <v>6</v>
      </c>
      <c r="B19" s="57">
        <v>98.5</v>
      </c>
      <c r="C19" s="55"/>
      <c r="D19" s="55"/>
      <c r="E19" s="55"/>
    </row>
    <row r="20" spans="1:5" ht="16.5" customHeight="1" x14ac:dyDescent="0.3">
      <c r="A20" s="53" t="s">
        <v>8</v>
      </c>
      <c r="B20" s="58">
        <v>8</v>
      </c>
      <c r="C20" s="55"/>
      <c r="D20" s="55"/>
      <c r="E20" s="55"/>
    </row>
    <row r="21" spans="1:5" ht="16.5" customHeight="1" x14ac:dyDescent="0.3">
      <c r="A21" s="53" t="s">
        <v>10</v>
      </c>
      <c r="B21" s="59">
        <v>0.08</v>
      </c>
      <c r="C21" s="55"/>
      <c r="D21" s="55"/>
      <c r="E21" s="55"/>
    </row>
    <row r="22" spans="1:5" ht="15.75" customHeight="1" x14ac:dyDescent="0.25">
      <c r="A22" s="55"/>
      <c r="B22" s="60">
        <v>42531.66033564815</v>
      </c>
      <c r="C22" s="55"/>
      <c r="D22" s="55"/>
      <c r="E22" s="55"/>
    </row>
    <row r="23" spans="1:5" ht="16.5" customHeight="1" x14ac:dyDescent="0.3">
      <c r="A23" s="61" t="s">
        <v>13</v>
      </c>
      <c r="B23" s="62" t="s">
        <v>14</v>
      </c>
      <c r="C23" s="61" t="s">
        <v>15</v>
      </c>
      <c r="D23" s="61" t="s">
        <v>16</v>
      </c>
      <c r="E23" s="61" t="s">
        <v>17</v>
      </c>
    </row>
    <row r="24" spans="1:5" ht="16.5" customHeight="1" x14ac:dyDescent="0.3">
      <c r="A24" s="63">
        <v>1</v>
      </c>
      <c r="B24" s="64">
        <v>7666869</v>
      </c>
      <c r="C24" s="64">
        <v>13465.5</v>
      </c>
      <c r="D24" s="65">
        <v>1.1000000000000001</v>
      </c>
      <c r="E24" s="66">
        <v>5</v>
      </c>
    </row>
    <row r="25" spans="1:5" ht="16.5" customHeight="1" x14ac:dyDescent="0.3">
      <c r="A25" s="63">
        <v>2</v>
      </c>
      <c r="B25" s="64">
        <v>7685770</v>
      </c>
      <c r="C25" s="64">
        <v>12589.1</v>
      </c>
      <c r="D25" s="65">
        <v>1.2</v>
      </c>
      <c r="E25" s="65">
        <v>4.9000000000000004</v>
      </c>
    </row>
    <row r="26" spans="1:5" ht="16.5" customHeight="1" x14ac:dyDescent="0.3">
      <c r="A26" s="63">
        <v>3</v>
      </c>
      <c r="B26" s="64">
        <v>7690429</v>
      </c>
      <c r="C26" s="64">
        <v>12803.9</v>
      </c>
      <c r="D26" s="65">
        <v>1.1000000000000001</v>
      </c>
      <c r="E26" s="65">
        <v>4.9000000000000004</v>
      </c>
    </row>
    <row r="27" spans="1:5" ht="16.5" customHeight="1" x14ac:dyDescent="0.3">
      <c r="A27" s="63">
        <v>4</v>
      </c>
      <c r="B27" s="64">
        <v>7689427</v>
      </c>
      <c r="C27" s="64">
        <v>12731.6</v>
      </c>
      <c r="D27" s="65">
        <v>1.2</v>
      </c>
      <c r="E27" s="65">
        <v>4.9000000000000004</v>
      </c>
    </row>
    <row r="28" spans="1:5" ht="16.5" customHeight="1" x14ac:dyDescent="0.3">
      <c r="A28" s="63">
        <v>5</v>
      </c>
      <c r="B28" s="64">
        <v>7689148</v>
      </c>
      <c r="C28" s="64">
        <v>12737.3</v>
      </c>
      <c r="D28" s="65">
        <v>1.2</v>
      </c>
      <c r="E28" s="65">
        <v>4.9000000000000004</v>
      </c>
    </row>
    <row r="29" spans="1:5" ht="16.5" customHeight="1" x14ac:dyDescent="0.3">
      <c r="A29" s="63">
        <v>6</v>
      </c>
      <c r="B29" s="67">
        <v>7687659</v>
      </c>
      <c r="C29" s="67">
        <v>12742</v>
      </c>
      <c r="D29" s="68">
        <v>1.2</v>
      </c>
      <c r="E29" s="68">
        <v>4.9000000000000004</v>
      </c>
    </row>
    <row r="30" spans="1:5" ht="16.5" customHeight="1" x14ac:dyDescent="0.3">
      <c r="A30" s="69" t="s">
        <v>18</v>
      </c>
      <c r="B30" s="70">
        <f>AVERAGE(B24:B29)</f>
        <v>7684883.666666667</v>
      </c>
      <c r="C30" s="71">
        <f>AVERAGE(C24:C29)</f>
        <v>12844.9</v>
      </c>
      <c r="D30" s="72">
        <f>AVERAGE(D24:D29)</f>
        <v>1.1666666666666667</v>
      </c>
      <c r="E30" s="72">
        <f>AVERAGE(E24:E29)</f>
        <v>4.916666666666667</v>
      </c>
    </row>
    <row r="31" spans="1:5" ht="16.5" customHeight="1" x14ac:dyDescent="0.3">
      <c r="A31" s="73" t="s">
        <v>19</v>
      </c>
      <c r="B31" s="74">
        <f>(STDEV(B24:B29)/B30)</f>
        <v>1.1676455647052846E-3</v>
      </c>
      <c r="C31" s="75"/>
      <c r="D31" s="75"/>
      <c r="E31" s="76"/>
    </row>
    <row r="32" spans="1:5" s="49" customFormat="1" ht="16.5" customHeight="1" x14ac:dyDescent="0.3">
      <c r="A32" s="77" t="s">
        <v>20</v>
      </c>
      <c r="B32" s="78">
        <f>COUNT(B24:B29)</f>
        <v>6</v>
      </c>
      <c r="C32" s="79"/>
      <c r="D32" s="80"/>
      <c r="E32" s="81"/>
    </row>
    <row r="33" spans="1:5" s="49" customFormat="1" ht="15.75" customHeight="1" x14ac:dyDescent="0.25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2" t="s">
        <v>22</v>
      </c>
      <c r="C34" s="83"/>
      <c r="D34" s="83"/>
      <c r="E34" s="83"/>
    </row>
    <row r="35" spans="1:5" ht="16.5" customHeight="1" x14ac:dyDescent="0.3">
      <c r="A35" s="56"/>
      <c r="B35" s="82" t="s">
        <v>23</v>
      </c>
      <c r="C35" s="83"/>
      <c r="D35" s="83"/>
      <c r="E35" s="83"/>
    </row>
    <row r="36" spans="1:5" ht="16.5" customHeight="1" x14ac:dyDescent="0.3">
      <c r="A36" s="56"/>
      <c r="B36" s="82" t="s">
        <v>24</v>
      </c>
      <c r="C36" s="83"/>
      <c r="D36" s="83"/>
      <c r="E36" s="83"/>
    </row>
    <row r="37" spans="1:5" ht="15.75" customHeight="1" x14ac:dyDescent="0.25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 t="s">
        <v>25</v>
      </c>
    </row>
    <row r="39" spans="1:5" ht="16.5" customHeight="1" x14ac:dyDescent="0.3">
      <c r="A39" s="56" t="s">
        <v>4</v>
      </c>
      <c r="B39" s="53" t="s">
        <v>133</v>
      </c>
      <c r="C39" s="55"/>
      <c r="D39" s="55"/>
      <c r="E39" s="55"/>
    </row>
    <row r="40" spans="1:5" ht="16.5" customHeight="1" x14ac:dyDescent="0.3">
      <c r="A40" s="56" t="s">
        <v>6</v>
      </c>
      <c r="B40" s="57">
        <v>98.5</v>
      </c>
      <c r="C40" s="55"/>
      <c r="D40" s="55"/>
      <c r="E40" s="55"/>
    </row>
    <row r="41" spans="1:5" ht="16.5" customHeight="1" x14ac:dyDescent="0.3">
      <c r="A41" s="53" t="s">
        <v>8</v>
      </c>
      <c r="B41" s="57">
        <v>8</v>
      </c>
      <c r="C41" s="55"/>
      <c r="D41" s="55"/>
      <c r="E41" s="55"/>
    </row>
    <row r="42" spans="1:5" ht="16.5" customHeight="1" x14ac:dyDescent="0.3">
      <c r="A42" s="53" t="s">
        <v>10</v>
      </c>
      <c r="B42" s="59">
        <v>0.08</v>
      </c>
      <c r="C42" s="55"/>
      <c r="D42" s="55"/>
      <c r="E42" s="55"/>
    </row>
    <row r="43" spans="1:5" ht="15.75" customHeight="1" x14ac:dyDescent="0.25">
      <c r="A43" s="55"/>
      <c r="B43" s="55"/>
      <c r="C43" s="55"/>
      <c r="D43" s="55"/>
      <c r="E43" s="55"/>
    </row>
    <row r="44" spans="1:5" ht="16.5" customHeight="1" x14ac:dyDescent="0.3">
      <c r="A44" s="61" t="s">
        <v>13</v>
      </c>
      <c r="B44" s="62" t="s">
        <v>14</v>
      </c>
      <c r="C44" s="61" t="s">
        <v>15</v>
      </c>
      <c r="D44" s="61" t="s">
        <v>16</v>
      </c>
      <c r="E44" s="61" t="s">
        <v>17</v>
      </c>
    </row>
    <row r="45" spans="1:5" ht="16.5" customHeight="1" x14ac:dyDescent="0.3">
      <c r="A45" s="63">
        <v>1</v>
      </c>
      <c r="B45" s="64">
        <v>7666869</v>
      </c>
      <c r="C45" s="64">
        <v>13465.5</v>
      </c>
      <c r="D45" s="65">
        <v>1.1000000000000001</v>
      </c>
      <c r="E45" s="66">
        <v>5</v>
      </c>
    </row>
    <row r="46" spans="1:5" ht="16.5" customHeight="1" x14ac:dyDescent="0.3">
      <c r="A46" s="63">
        <v>2</v>
      </c>
      <c r="B46" s="64">
        <v>7685770</v>
      </c>
      <c r="C46" s="64">
        <v>12589.1</v>
      </c>
      <c r="D46" s="65">
        <v>1.2</v>
      </c>
      <c r="E46" s="65">
        <v>4.9000000000000004</v>
      </c>
    </row>
    <row r="47" spans="1:5" ht="16.5" customHeight="1" x14ac:dyDescent="0.3">
      <c r="A47" s="63">
        <v>3</v>
      </c>
      <c r="B47" s="64">
        <v>7690429</v>
      </c>
      <c r="C47" s="64">
        <v>12803.9</v>
      </c>
      <c r="D47" s="65">
        <v>1.1000000000000001</v>
      </c>
      <c r="E47" s="65">
        <v>4.9000000000000004</v>
      </c>
    </row>
    <row r="48" spans="1:5" ht="16.5" customHeight="1" x14ac:dyDescent="0.3">
      <c r="A48" s="63">
        <v>4</v>
      </c>
      <c r="B48" s="64">
        <v>7689427</v>
      </c>
      <c r="C48" s="64">
        <v>12731.6</v>
      </c>
      <c r="D48" s="65">
        <v>1.2</v>
      </c>
      <c r="E48" s="65">
        <v>4.9000000000000004</v>
      </c>
    </row>
    <row r="49" spans="1:7" ht="16.5" customHeight="1" x14ac:dyDescent="0.3">
      <c r="A49" s="63">
        <v>5</v>
      </c>
      <c r="B49" s="64">
        <v>7689148</v>
      </c>
      <c r="C49" s="64">
        <v>12737.3</v>
      </c>
      <c r="D49" s="65">
        <v>1.2</v>
      </c>
      <c r="E49" s="65">
        <v>4.9000000000000004</v>
      </c>
    </row>
    <row r="50" spans="1:7" ht="16.5" customHeight="1" x14ac:dyDescent="0.3">
      <c r="A50" s="63">
        <v>6</v>
      </c>
      <c r="B50" s="67">
        <v>7687659</v>
      </c>
      <c r="C50" s="67">
        <v>12742</v>
      </c>
      <c r="D50" s="68">
        <v>1.2</v>
      </c>
      <c r="E50" s="68">
        <v>4.9000000000000004</v>
      </c>
    </row>
    <row r="51" spans="1:7" ht="16.5" customHeight="1" x14ac:dyDescent="0.3">
      <c r="A51" s="69" t="s">
        <v>18</v>
      </c>
      <c r="B51" s="70">
        <f>AVERAGE(B45:B50)</f>
        <v>7684883.666666667</v>
      </c>
      <c r="C51" s="71">
        <f>AVERAGE(C45:C50)</f>
        <v>12844.9</v>
      </c>
      <c r="D51" s="72">
        <f>AVERAGE(D45:D50)</f>
        <v>1.1666666666666667</v>
      </c>
      <c r="E51" s="72">
        <f>AVERAGE(E45:E50)</f>
        <v>4.916666666666667</v>
      </c>
    </row>
    <row r="52" spans="1:7" ht="16.5" customHeight="1" x14ac:dyDescent="0.3">
      <c r="A52" s="73" t="s">
        <v>19</v>
      </c>
      <c r="B52" s="74">
        <f>(STDEV(B45:B50)/B51)</f>
        <v>1.1676455647052846E-3</v>
      </c>
      <c r="C52" s="75"/>
      <c r="D52" s="75"/>
      <c r="E52" s="76"/>
    </row>
    <row r="53" spans="1:7" s="49" customFormat="1" ht="16.5" customHeight="1" x14ac:dyDescent="0.3">
      <c r="A53" s="77" t="s">
        <v>20</v>
      </c>
      <c r="B53" s="78">
        <f>COUNT(B45:B50)</f>
        <v>6</v>
      </c>
      <c r="C53" s="79"/>
      <c r="D53" s="80"/>
      <c r="E53" s="81"/>
    </row>
    <row r="54" spans="1:7" s="49" customFormat="1" ht="15.75" customHeight="1" x14ac:dyDescent="0.25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2" t="s">
        <v>22</v>
      </c>
      <c r="C55" s="83"/>
      <c r="D55" s="83"/>
      <c r="E55" s="83"/>
    </row>
    <row r="56" spans="1:7" ht="16.5" customHeight="1" x14ac:dyDescent="0.3">
      <c r="A56" s="56"/>
      <c r="B56" s="82" t="s">
        <v>23</v>
      </c>
      <c r="C56" s="83"/>
      <c r="D56" s="83"/>
      <c r="E56" s="83"/>
    </row>
    <row r="57" spans="1:7" ht="16.5" customHeight="1" x14ac:dyDescent="0.3">
      <c r="A57" s="56"/>
      <c r="B57" s="82" t="s">
        <v>24</v>
      </c>
      <c r="C57" s="83"/>
      <c r="D57" s="83"/>
      <c r="E57" s="83"/>
    </row>
    <row r="58" spans="1:7" ht="14.25" customHeight="1" thickBot="1" x14ac:dyDescent="0.3">
      <c r="A58" s="84"/>
      <c r="B58" s="85"/>
      <c r="D58" s="86"/>
      <c r="F58" s="87"/>
      <c r="G58" s="87"/>
    </row>
    <row r="59" spans="1:7" ht="15" customHeight="1" x14ac:dyDescent="0.3">
      <c r="B59" s="587" t="s">
        <v>26</v>
      </c>
      <c r="C59" s="587"/>
      <c r="E59" s="88" t="s">
        <v>27</v>
      </c>
      <c r="F59" s="89"/>
      <c r="G59" s="88" t="s">
        <v>28</v>
      </c>
    </row>
    <row r="60" spans="1:7" ht="15" customHeight="1" x14ac:dyDescent="0.3">
      <c r="A60" s="90" t="s">
        <v>29</v>
      </c>
      <c r="B60" s="91"/>
      <c r="C60" s="91"/>
      <c r="E60" s="91"/>
      <c r="G60" s="91"/>
    </row>
    <row r="61" spans="1:7" ht="15" customHeight="1" x14ac:dyDescent="0.3">
      <c r="A61" s="90" t="s">
        <v>30</v>
      </c>
      <c r="B61" s="92"/>
      <c r="C61" s="92"/>
      <c r="E61" s="92"/>
      <c r="G61" s="9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5" workbookViewId="0">
      <selection activeCell="C41" sqref="C41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7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586" t="s">
        <v>0</v>
      </c>
      <c r="B15" s="586"/>
      <c r="C15" s="586"/>
      <c r="D15" s="586"/>
      <c r="E15" s="586"/>
    </row>
    <row r="16" spans="1:6" ht="16.5" customHeight="1" x14ac:dyDescent="0.3">
      <c r="A16" s="51" t="s">
        <v>1</v>
      </c>
      <c r="B16" s="52" t="s">
        <v>2</v>
      </c>
    </row>
    <row r="17" spans="1:5" ht="16.5" customHeight="1" x14ac:dyDescent="0.3">
      <c r="A17" s="53" t="s">
        <v>3</v>
      </c>
      <c r="B17" s="53" t="s">
        <v>7</v>
      </c>
      <c r="D17" s="54"/>
      <c r="E17" s="55"/>
    </row>
    <row r="18" spans="1:5" ht="16.5" customHeight="1" x14ac:dyDescent="0.3">
      <c r="A18" s="56" t="s">
        <v>4</v>
      </c>
      <c r="B18" s="53" t="s">
        <v>134</v>
      </c>
      <c r="C18" s="55"/>
      <c r="D18" s="55"/>
      <c r="E18" s="55"/>
    </row>
    <row r="19" spans="1:5" ht="16.5" customHeight="1" x14ac:dyDescent="0.3">
      <c r="A19" s="56" t="s">
        <v>6</v>
      </c>
      <c r="B19" s="57">
        <v>98.5</v>
      </c>
      <c r="C19" s="55"/>
      <c r="D19" s="55"/>
      <c r="E19" s="55"/>
    </row>
    <row r="20" spans="1:5" ht="16.5" customHeight="1" x14ac:dyDescent="0.3">
      <c r="A20" s="53" t="s">
        <v>8</v>
      </c>
      <c r="B20" s="57">
        <v>43</v>
      </c>
      <c r="C20" s="55"/>
      <c r="D20" s="55"/>
      <c r="E20" s="55"/>
    </row>
    <row r="21" spans="1:5" ht="16.5" customHeight="1" x14ac:dyDescent="0.3">
      <c r="A21" s="53" t="s">
        <v>10</v>
      </c>
      <c r="B21" s="59">
        <v>0.43</v>
      </c>
      <c r="C21" s="55"/>
      <c r="D21" s="55"/>
      <c r="E21" s="55"/>
    </row>
    <row r="22" spans="1:5" ht="15.75" customHeight="1" x14ac:dyDescent="0.25">
      <c r="A22" s="55"/>
      <c r="B22" s="60">
        <v>42531.66033564815</v>
      </c>
      <c r="C22" s="55"/>
      <c r="D22" s="55"/>
      <c r="E22" s="55"/>
    </row>
    <row r="23" spans="1:5" ht="16.5" customHeight="1" x14ac:dyDescent="0.3">
      <c r="A23" s="61" t="s">
        <v>13</v>
      </c>
      <c r="B23" s="62" t="s">
        <v>14</v>
      </c>
      <c r="C23" s="61" t="s">
        <v>15</v>
      </c>
      <c r="D23" s="61" t="s">
        <v>16</v>
      </c>
      <c r="E23" s="61" t="s">
        <v>17</v>
      </c>
    </row>
    <row r="24" spans="1:5" ht="16.5" customHeight="1" x14ac:dyDescent="0.3">
      <c r="A24" s="63">
        <v>1</v>
      </c>
      <c r="B24" s="64">
        <v>21689687</v>
      </c>
      <c r="C24" s="64">
        <v>12644.9</v>
      </c>
      <c r="D24" s="65">
        <v>1.2</v>
      </c>
      <c r="E24" s="66">
        <v>5.7</v>
      </c>
    </row>
    <row r="25" spans="1:5" ht="16.5" customHeight="1" x14ac:dyDescent="0.3">
      <c r="A25" s="63">
        <v>2</v>
      </c>
      <c r="B25" s="64">
        <v>21668472</v>
      </c>
      <c r="C25" s="64">
        <v>12367.1</v>
      </c>
      <c r="D25" s="65">
        <v>1.2</v>
      </c>
      <c r="E25" s="65">
        <v>5.7</v>
      </c>
    </row>
    <row r="26" spans="1:5" ht="16.5" customHeight="1" x14ac:dyDescent="0.3">
      <c r="A26" s="63">
        <v>3</v>
      </c>
      <c r="B26" s="64">
        <v>21674990</v>
      </c>
      <c r="C26" s="64">
        <v>12242.6</v>
      </c>
      <c r="D26" s="65">
        <v>1.2</v>
      </c>
      <c r="E26" s="65">
        <v>5.7</v>
      </c>
    </row>
    <row r="27" spans="1:5" ht="16.5" customHeight="1" x14ac:dyDescent="0.3">
      <c r="A27" s="63">
        <v>4</v>
      </c>
      <c r="B27" s="64">
        <v>21674317</v>
      </c>
      <c r="C27" s="64">
        <v>12234.7</v>
      </c>
      <c r="D27" s="65">
        <v>1.2</v>
      </c>
      <c r="E27" s="65">
        <v>5.7</v>
      </c>
    </row>
    <row r="28" spans="1:5" ht="16.5" customHeight="1" x14ac:dyDescent="0.3">
      <c r="A28" s="63">
        <v>5</v>
      </c>
      <c r="B28" s="64">
        <v>21665103</v>
      </c>
      <c r="C28" s="64">
        <v>12232.5</v>
      </c>
      <c r="D28" s="65">
        <v>1.2</v>
      </c>
      <c r="E28" s="65">
        <v>5.7</v>
      </c>
    </row>
    <row r="29" spans="1:5" ht="16.5" customHeight="1" x14ac:dyDescent="0.3">
      <c r="A29" s="63">
        <v>6</v>
      </c>
      <c r="B29" s="67">
        <v>21653799</v>
      </c>
      <c r="C29" s="67">
        <v>12236.6</v>
      </c>
      <c r="D29" s="68">
        <v>1.2</v>
      </c>
      <c r="E29" s="68">
        <v>5.7</v>
      </c>
    </row>
    <row r="30" spans="1:5" ht="16.5" customHeight="1" x14ac:dyDescent="0.3">
      <c r="A30" s="69" t="s">
        <v>18</v>
      </c>
      <c r="B30" s="70">
        <f>AVERAGE(B24:B29)</f>
        <v>21671061.333333332</v>
      </c>
      <c r="C30" s="71">
        <f>AVERAGE(C24:C29)</f>
        <v>12326.400000000001</v>
      </c>
      <c r="D30" s="72">
        <f>AVERAGE(D24:D29)</f>
        <v>1.2</v>
      </c>
      <c r="E30" s="72">
        <f>AVERAGE(E24:E29)</f>
        <v>5.7</v>
      </c>
    </row>
    <row r="31" spans="1:5" ht="16.5" customHeight="1" x14ac:dyDescent="0.3">
      <c r="A31" s="73" t="s">
        <v>19</v>
      </c>
      <c r="B31" s="74">
        <f>(STDEV(B24:B29)/B30)</f>
        <v>5.5109106063154533E-4</v>
      </c>
      <c r="C31" s="75"/>
      <c r="D31" s="75"/>
      <c r="E31" s="76"/>
    </row>
    <row r="32" spans="1:5" s="49" customFormat="1" ht="16.5" customHeight="1" x14ac:dyDescent="0.3">
      <c r="A32" s="77" t="s">
        <v>20</v>
      </c>
      <c r="B32" s="78">
        <f>COUNT(B24:B29)</f>
        <v>6</v>
      </c>
      <c r="C32" s="79"/>
      <c r="D32" s="80"/>
      <c r="E32" s="81"/>
    </row>
    <row r="33" spans="1:5" s="49" customFormat="1" ht="15.75" customHeight="1" x14ac:dyDescent="0.25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2" t="s">
        <v>22</v>
      </c>
      <c r="C34" s="83"/>
      <c r="D34" s="83"/>
      <c r="E34" s="83"/>
    </row>
    <row r="35" spans="1:5" ht="16.5" customHeight="1" x14ac:dyDescent="0.3">
      <c r="A35" s="56"/>
      <c r="B35" s="82" t="s">
        <v>23</v>
      </c>
      <c r="C35" s="83"/>
      <c r="D35" s="83"/>
      <c r="E35" s="83"/>
    </row>
    <row r="36" spans="1:5" ht="16.5" customHeight="1" x14ac:dyDescent="0.3">
      <c r="A36" s="56"/>
      <c r="B36" s="82" t="s">
        <v>24</v>
      </c>
      <c r="C36" s="83"/>
      <c r="D36" s="83"/>
      <c r="E36" s="83"/>
    </row>
    <row r="37" spans="1:5" ht="15.75" customHeight="1" x14ac:dyDescent="0.25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 t="s">
        <v>25</v>
      </c>
    </row>
    <row r="39" spans="1:5" ht="16.5" customHeight="1" x14ac:dyDescent="0.3">
      <c r="A39" s="56" t="s">
        <v>4</v>
      </c>
      <c r="B39" s="53" t="s">
        <v>134</v>
      </c>
      <c r="C39" s="55"/>
      <c r="D39" s="55"/>
      <c r="E39" s="55"/>
    </row>
    <row r="40" spans="1:5" ht="16.5" customHeight="1" x14ac:dyDescent="0.3">
      <c r="A40" s="56" t="s">
        <v>6</v>
      </c>
      <c r="B40" s="57">
        <v>98.5</v>
      </c>
      <c r="C40" s="55"/>
      <c r="D40" s="55"/>
      <c r="E40" s="55"/>
    </row>
    <row r="41" spans="1:5" ht="16.5" customHeight="1" x14ac:dyDescent="0.3">
      <c r="A41" s="53" t="s">
        <v>8</v>
      </c>
      <c r="B41" s="57">
        <v>43</v>
      </c>
      <c r="C41" s="55"/>
      <c r="D41" s="55"/>
      <c r="E41" s="55"/>
    </row>
    <row r="42" spans="1:5" ht="16.5" customHeight="1" x14ac:dyDescent="0.3">
      <c r="A42" s="53" t="s">
        <v>10</v>
      </c>
      <c r="B42" s="59">
        <v>0.43</v>
      </c>
      <c r="C42" s="55"/>
      <c r="D42" s="55"/>
      <c r="E42" s="55"/>
    </row>
    <row r="43" spans="1:5" ht="15.75" customHeight="1" x14ac:dyDescent="0.25">
      <c r="A43" s="55"/>
      <c r="B43" s="55"/>
      <c r="C43" s="55"/>
      <c r="D43" s="55"/>
      <c r="E43" s="55"/>
    </row>
    <row r="44" spans="1:5" ht="16.5" customHeight="1" x14ac:dyDescent="0.3">
      <c r="A44" s="61" t="s">
        <v>13</v>
      </c>
      <c r="B44" s="62" t="s">
        <v>14</v>
      </c>
      <c r="C44" s="61" t="s">
        <v>15</v>
      </c>
      <c r="D44" s="61" t="s">
        <v>16</v>
      </c>
      <c r="E44" s="61" t="s">
        <v>17</v>
      </c>
    </row>
    <row r="45" spans="1:5" ht="16.5" customHeight="1" x14ac:dyDescent="0.3">
      <c r="A45" s="63">
        <v>1</v>
      </c>
      <c r="B45" s="64">
        <v>21689687</v>
      </c>
      <c r="C45" s="64">
        <v>12644.9</v>
      </c>
      <c r="D45" s="65">
        <v>1.2</v>
      </c>
      <c r="E45" s="66">
        <v>5.7</v>
      </c>
    </row>
    <row r="46" spans="1:5" ht="16.5" customHeight="1" x14ac:dyDescent="0.3">
      <c r="A46" s="63">
        <v>2</v>
      </c>
      <c r="B46" s="64">
        <v>21668472</v>
      </c>
      <c r="C46" s="64">
        <v>12367.1</v>
      </c>
      <c r="D46" s="65">
        <v>1.2</v>
      </c>
      <c r="E46" s="65">
        <v>5.7</v>
      </c>
    </row>
    <row r="47" spans="1:5" ht="16.5" customHeight="1" x14ac:dyDescent="0.3">
      <c r="A47" s="63">
        <v>3</v>
      </c>
      <c r="B47" s="64">
        <v>21674990</v>
      </c>
      <c r="C47" s="64">
        <v>12242.6</v>
      </c>
      <c r="D47" s="65">
        <v>1.2</v>
      </c>
      <c r="E47" s="65">
        <v>5.7</v>
      </c>
    </row>
    <row r="48" spans="1:5" ht="16.5" customHeight="1" x14ac:dyDescent="0.3">
      <c r="A48" s="63">
        <v>4</v>
      </c>
      <c r="B48" s="64">
        <v>21674317</v>
      </c>
      <c r="C48" s="64">
        <v>12234.7</v>
      </c>
      <c r="D48" s="65">
        <v>1.2</v>
      </c>
      <c r="E48" s="65">
        <v>5.7</v>
      </c>
    </row>
    <row r="49" spans="1:7" ht="16.5" customHeight="1" x14ac:dyDescent="0.3">
      <c r="A49" s="63">
        <v>5</v>
      </c>
      <c r="B49" s="64">
        <v>21665103</v>
      </c>
      <c r="C49" s="64">
        <v>12232.5</v>
      </c>
      <c r="D49" s="65">
        <v>1.2</v>
      </c>
      <c r="E49" s="65">
        <v>5.7</v>
      </c>
    </row>
    <row r="50" spans="1:7" ht="16.5" customHeight="1" x14ac:dyDescent="0.3">
      <c r="A50" s="63">
        <v>6</v>
      </c>
      <c r="B50" s="67">
        <v>21653799</v>
      </c>
      <c r="C50" s="67">
        <v>12236.6</v>
      </c>
      <c r="D50" s="68">
        <v>1.2</v>
      </c>
      <c r="E50" s="68">
        <v>5.7</v>
      </c>
    </row>
    <row r="51" spans="1:7" ht="16.5" customHeight="1" x14ac:dyDescent="0.3">
      <c r="A51" s="69" t="s">
        <v>18</v>
      </c>
      <c r="B51" s="70">
        <f>AVERAGE(B45:B50)</f>
        <v>21671061.333333332</v>
      </c>
      <c r="C51" s="71">
        <f>AVERAGE(C45:C50)</f>
        <v>12326.400000000001</v>
      </c>
      <c r="D51" s="72">
        <f>AVERAGE(D45:D50)</f>
        <v>1.2</v>
      </c>
      <c r="E51" s="72">
        <f>AVERAGE(E45:E50)</f>
        <v>5.7</v>
      </c>
    </row>
    <row r="52" spans="1:7" ht="16.5" customHeight="1" x14ac:dyDescent="0.3">
      <c r="A52" s="73" t="s">
        <v>19</v>
      </c>
      <c r="B52" s="74">
        <f>(STDEV(B45:B50)/B51)</f>
        <v>5.5109106063154533E-4</v>
      </c>
      <c r="C52" s="75"/>
      <c r="D52" s="75"/>
      <c r="E52" s="76"/>
    </row>
    <row r="53" spans="1:7" s="49" customFormat="1" ht="16.5" customHeight="1" x14ac:dyDescent="0.3">
      <c r="A53" s="77" t="s">
        <v>20</v>
      </c>
      <c r="B53" s="78">
        <f>COUNT(B45:B50)</f>
        <v>6</v>
      </c>
      <c r="C53" s="79"/>
      <c r="D53" s="80"/>
      <c r="E53" s="81"/>
    </row>
    <row r="54" spans="1:7" s="49" customFormat="1" ht="15.75" customHeight="1" x14ac:dyDescent="0.25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2" t="s">
        <v>22</v>
      </c>
      <c r="C55" s="83"/>
      <c r="D55" s="83"/>
      <c r="E55" s="83"/>
    </row>
    <row r="56" spans="1:7" ht="16.5" customHeight="1" x14ac:dyDescent="0.3">
      <c r="A56" s="56"/>
      <c r="B56" s="82" t="s">
        <v>23</v>
      </c>
      <c r="C56" s="83"/>
      <c r="D56" s="83"/>
      <c r="E56" s="83"/>
    </row>
    <row r="57" spans="1:7" ht="16.5" customHeight="1" x14ac:dyDescent="0.3">
      <c r="A57" s="56"/>
      <c r="B57" s="82" t="s">
        <v>24</v>
      </c>
      <c r="C57" s="83"/>
      <c r="D57" s="83"/>
      <c r="E57" s="83"/>
    </row>
    <row r="58" spans="1:7" ht="14.25" customHeight="1" thickBot="1" x14ac:dyDescent="0.3">
      <c r="A58" s="84"/>
      <c r="B58" s="85"/>
      <c r="D58" s="86"/>
      <c r="F58" s="87"/>
      <c r="G58" s="87"/>
    </row>
    <row r="59" spans="1:7" ht="15" customHeight="1" x14ac:dyDescent="0.3">
      <c r="B59" s="587" t="s">
        <v>26</v>
      </c>
      <c r="C59" s="587"/>
      <c r="E59" s="88" t="s">
        <v>27</v>
      </c>
      <c r="F59" s="89"/>
      <c r="G59" s="88" t="s">
        <v>28</v>
      </c>
    </row>
    <row r="60" spans="1:7" ht="15" customHeight="1" x14ac:dyDescent="0.3">
      <c r="A60" s="90" t="s">
        <v>29</v>
      </c>
      <c r="B60" s="91"/>
      <c r="C60" s="91"/>
      <c r="E60" s="91"/>
      <c r="G60" s="91"/>
    </row>
    <row r="61" spans="1:7" ht="15" customHeight="1" x14ac:dyDescent="0.3">
      <c r="A61" s="90" t="s">
        <v>30</v>
      </c>
      <c r="B61" s="92"/>
      <c r="C61" s="92"/>
      <c r="E61" s="92"/>
      <c r="G61" s="9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7" workbookViewId="0">
      <selection activeCell="B42" sqref="B42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7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586" t="s">
        <v>0</v>
      </c>
      <c r="B15" s="586"/>
      <c r="C15" s="586"/>
      <c r="D15" s="586"/>
      <c r="E15" s="586"/>
    </row>
    <row r="16" spans="1:6" ht="16.5" customHeight="1" x14ac:dyDescent="0.3">
      <c r="A16" s="51" t="s">
        <v>1</v>
      </c>
      <c r="B16" s="52" t="s">
        <v>2</v>
      </c>
    </row>
    <row r="17" spans="1:5" ht="16.5" customHeight="1" x14ac:dyDescent="0.3">
      <c r="A17" s="53" t="s">
        <v>3</v>
      </c>
      <c r="B17" s="53" t="s">
        <v>7</v>
      </c>
      <c r="D17" s="54"/>
      <c r="E17" s="55"/>
    </row>
    <row r="18" spans="1:5" ht="16.5" customHeight="1" x14ac:dyDescent="0.3">
      <c r="A18" s="56" t="s">
        <v>4</v>
      </c>
      <c r="B18" s="53" t="s">
        <v>135</v>
      </c>
      <c r="C18" s="55"/>
      <c r="D18" s="55"/>
      <c r="E18" s="55"/>
    </row>
    <row r="19" spans="1:5" ht="16.5" customHeight="1" x14ac:dyDescent="0.3">
      <c r="A19" s="56" t="s">
        <v>6</v>
      </c>
      <c r="B19" s="57">
        <v>99.6</v>
      </c>
      <c r="C19" s="55"/>
      <c r="D19" s="55"/>
      <c r="E19" s="55"/>
    </row>
    <row r="20" spans="1:5" ht="16.5" customHeight="1" x14ac:dyDescent="0.3">
      <c r="A20" s="53" t="s">
        <v>8</v>
      </c>
      <c r="B20" s="57">
        <v>16</v>
      </c>
      <c r="C20" s="55"/>
      <c r="D20" s="55"/>
      <c r="E20" s="55"/>
    </row>
    <row r="21" spans="1:5" ht="16.5" customHeight="1" x14ac:dyDescent="0.3">
      <c r="A21" s="53" t="s">
        <v>10</v>
      </c>
      <c r="B21" s="59">
        <v>0.16</v>
      </c>
      <c r="C21" s="55"/>
      <c r="D21" s="55"/>
      <c r="E21" s="55"/>
    </row>
    <row r="22" spans="1:5" ht="15.75" customHeight="1" x14ac:dyDescent="0.25">
      <c r="A22" s="55"/>
      <c r="B22" s="60">
        <v>42531.66033564815</v>
      </c>
      <c r="C22" s="55"/>
      <c r="D22" s="55"/>
      <c r="E22" s="55"/>
    </row>
    <row r="23" spans="1:5" ht="16.5" customHeight="1" x14ac:dyDescent="0.3">
      <c r="A23" s="61" t="s">
        <v>13</v>
      </c>
      <c r="B23" s="62" t="s">
        <v>14</v>
      </c>
      <c r="C23" s="61" t="s">
        <v>15</v>
      </c>
      <c r="D23" s="61" t="s">
        <v>16</v>
      </c>
      <c r="E23" s="61" t="s">
        <v>17</v>
      </c>
    </row>
    <row r="24" spans="1:5" ht="16.5" customHeight="1" x14ac:dyDescent="0.3">
      <c r="A24" s="63">
        <v>1</v>
      </c>
      <c r="B24" s="64">
        <v>7644767</v>
      </c>
      <c r="C24" s="64">
        <v>66024</v>
      </c>
      <c r="D24" s="65">
        <v>1.1000000000000001</v>
      </c>
      <c r="E24" s="66">
        <v>9.3000000000000007</v>
      </c>
    </row>
    <row r="25" spans="1:5" ht="16.5" customHeight="1" x14ac:dyDescent="0.3">
      <c r="A25" s="63">
        <v>2</v>
      </c>
      <c r="B25" s="64">
        <v>7589467</v>
      </c>
      <c r="C25" s="64">
        <v>66129.2</v>
      </c>
      <c r="D25" s="65">
        <v>1.1000000000000001</v>
      </c>
      <c r="E25" s="65">
        <v>9.3000000000000007</v>
      </c>
    </row>
    <row r="26" spans="1:5" ht="16.5" customHeight="1" x14ac:dyDescent="0.3">
      <c r="A26" s="63">
        <v>3</v>
      </c>
      <c r="B26" s="64">
        <v>7549143</v>
      </c>
      <c r="C26" s="64">
        <v>66240.399999999994</v>
      </c>
      <c r="D26" s="65">
        <v>1.1000000000000001</v>
      </c>
      <c r="E26" s="65">
        <v>9.3000000000000007</v>
      </c>
    </row>
    <row r="27" spans="1:5" ht="16.5" customHeight="1" x14ac:dyDescent="0.3">
      <c r="A27" s="63">
        <v>4</v>
      </c>
      <c r="B27" s="64">
        <v>7530658</v>
      </c>
      <c r="C27" s="64">
        <v>66473.899999999994</v>
      </c>
      <c r="D27" s="65">
        <v>1.1000000000000001</v>
      </c>
      <c r="E27" s="65">
        <v>9.3000000000000007</v>
      </c>
    </row>
    <row r="28" spans="1:5" ht="16.5" customHeight="1" x14ac:dyDescent="0.3">
      <c r="A28" s="63">
        <v>5</v>
      </c>
      <c r="B28" s="64">
        <v>7502031</v>
      </c>
      <c r="C28" s="64">
        <v>66455.399999999994</v>
      </c>
      <c r="D28" s="65">
        <v>1.1000000000000001</v>
      </c>
      <c r="E28" s="65">
        <v>9.3000000000000007</v>
      </c>
    </row>
    <row r="29" spans="1:5" ht="16.5" customHeight="1" x14ac:dyDescent="0.3">
      <c r="A29" s="63">
        <v>6</v>
      </c>
      <c r="B29" s="67">
        <v>7472903</v>
      </c>
      <c r="C29" s="67">
        <v>66769.52</v>
      </c>
      <c r="D29" s="68">
        <v>1.1000000000000001</v>
      </c>
      <c r="E29" s="68">
        <v>9.3000000000000007</v>
      </c>
    </row>
    <row r="30" spans="1:5" ht="16.5" customHeight="1" x14ac:dyDescent="0.3">
      <c r="A30" s="69" t="s">
        <v>18</v>
      </c>
      <c r="B30" s="70">
        <f>AVERAGE(B24:B29)</f>
        <v>7548161.5</v>
      </c>
      <c r="C30" s="71">
        <f>AVERAGE(C24:C29)</f>
        <v>66348.736666666679</v>
      </c>
      <c r="D30" s="72">
        <f>AVERAGE(D24:D29)</f>
        <v>1.0999999999999999</v>
      </c>
      <c r="E30" s="72">
        <f>AVERAGE(E24:E29)</f>
        <v>9.2999999999999989</v>
      </c>
    </row>
    <row r="31" spans="1:5" ht="16.5" customHeight="1" x14ac:dyDescent="0.3">
      <c r="A31" s="73" t="s">
        <v>19</v>
      </c>
      <c r="B31" s="74">
        <f>(STDEV(B24:B29)/B30)</f>
        <v>8.1963731574697524E-3</v>
      </c>
      <c r="C31" s="75"/>
      <c r="D31" s="75"/>
      <c r="E31" s="76"/>
    </row>
    <row r="32" spans="1:5" s="49" customFormat="1" ht="16.5" customHeight="1" x14ac:dyDescent="0.3">
      <c r="A32" s="77" t="s">
        <v>20</v>
      </c>
      <c r="B32" s="78">
        <f>COUNT(B24:B29)</f>
        <v>6</v>
      </c>
      <c r="C32" s="79"/>
      <c r="D32" s="80"/>
      <c r="E32" s="81"/>
    </row>
    <row r="33" spans="1:5" s="49" customFormat="1" ht="15.75" customHeight="1" x14ac:dyDescent="0.25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2" t="s">
        <v>22</v>
      </c>
      <c r="C34" s="83"/>
      <c r="D34" s="83"/>
      <c r="E34" s="83"/>
    </row>
    <row r="35" spans="1:5" ht="16.5" customHeight="1" x14ac:dyDescent="0.3">
      <c r="A35" s="56"/>
      <c r="B35" s="82" t="s">
        <v>23</v>
      </c>
      <c r="C35" s="83"/>
      <c r="D35" s="83"/>
      <c r="E35" s="83"/>
    </row>
    <row r="36" spans="1:5" ht="16.5" customHeight="1" x14ac:dyDescent="0.3">
      <c r="A36" s="56"/>
      <c r="B36" s="82" t="s">
        <v>24</v>
      </c>
      <c r="C36" s="83"/>
      <c r="D36" s="83"/>
      <c r="E36" s="83"/>
    </row>
    <row r="37" spans="1:5" ht="15.75" customHeight="1" x14ac:dyDescent="0.25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 t="s">
        <v>25</v>
      </c>
    </row>
    <row r="39" spans="1:5" ht="16.5" customHeight="1" x14ac:dyDescent="0.3">
      <c r="A39" s="56" t="s">
        <v>4</v>
      </c>
      <c r="B39" s="53" t="s">
        <v>135</v>
      </c>
      <c r="C39" s="55"/>
      <c r="D39" s="55"/>
      <c r="E39" s="55"/>
    </row>
    <row r="40" spans="1:5" ht="16.5" customHeight="1" x14ac:dyDescent="0.3">
      <c r="A40" s="56" t="s">
        <v>6</v>
      </c>
      <c r="B40" s="57">
        <v>99.6</v>
      </c>
      <c r="C40" s="55"/>
      <c r="D40" s="55"/>
      <c r="E40" s="55"/>
    </row>
    <row r="41" spans="1:5" ht="16.5" customHeight="1" x14ac:dyDescent="0.3">
      <c r="A41" s="53" t="s">
        <v>8</v>
      </c>
      <c r="B41" s="57">
        <v>16</v>
      </c>
      <c r="C41" s="55"/>
      <c r="D41" s="55"/>
      <c r="E41" s="55"/>
    </row>
    <row r="42" spans="1:5" ht="16.5" customHeight="1" x14ac:dyDescent="0.3">
      <c r="A42" s="53" t="s">
        <v>10</v>
      </c>
      <c r="B42" s="59">
        <v>0.16</v>
      </c>
      <c r="C42" s="55"/>
      <c r="D42" s="55"/>
      <c r="E42" s="55"/>
    </row>
    <row r="43" spans="1:5" ht="15.75" customHeight="1" x14ac:dyDescent="0.25">
      <c r="A43" s="55"/>
      <c r="B43" s="55"/>
      <c r="C43" s="55"/>
      <c r="D43" s="55"/>
      <c r="E43" s="55"/>
    </row>
    <row r="44" spans="1:5" ht="16.5" customHeight="1" x14ac:dyDescent="0.3">
      <c r="A44" s="61" t="s">
        <v>13</v>
      </c>
      <c r="B44" s="62" t="s">
        <v>14</v>
      </c>
      <c r="C44" s="61" t="s">
        <v>15</v>
      </c>
      <c r="D44" s="61" t="s">
        <v>16</v>
      </c>
      <c r="E44" s="61" t="s">
        <v>17</v>
      </c>
    </row>
    <row r="45" spans="1:5" ht="16.5" customHeight="1" x14ac:dyDescent="0.3">
      <c r="A45" s="63">
        <v>1</v>
      </c>
      <c r="B45" s="64">
        <v>7644767</v>
      </c>
      <c r="C45" s="64">
        <v>66024</v>
      </c>
      <c r="D45" s="65">
        <v>1.1000000000000001</v>
      </c>
      <c r="E45" s="66">
        <v>9.3000000000000007</v>
      </c>
    </row>
    <row r="46" spans="1:5" ht="16.5" customHeight="1" x14ac:dyDescent="0.3">
      <c r="A46" s="63">
        <v>2</v>
      </c>
      <c r="B46" s="64">
        <v>7589467</v>
      </c>
      <c r="C46" s="64">
        <v>66129.2</v>
      </c>
      <c r="D46" s="65">
        <v>1.1000000000000001</v>
      </c>
      <c r="E46" s="65">
        <v>9.3000000000000007</v>
      </c>
    </row>
    <row r="47" spans="1:5" ht="16.5" customHeight="1" x14ac:dyDescent="0.3">
      <c r="A47" s="63">
        <v>3</v>
      </c>
      <c r="B47" s="64">
        <v>7549143</v>
      </c>
      <c r="C47" s="64">
        <v>66240.399999999994</v>
      </c>
      <c r="D47" s="65">
        <v>1.1000000000000001</v>
      </c>
      <c r="E47" s="65">
        <v>9.3000000000000007</v>
      </c>
    </row>
    <row r="48" spans="1:5" ht="16.5" customHeight="1" x14ac:dyDescent="0.3">
      <c r="A48" s="63">
        <v>4</v>
      </c>
      <c r="B48" s="64">
        <v>7530658</v>
      </c>
      <c r="C48" s="64">
        <v>66473.899999999994</v>
      </c>
      <c r="D48" s="65">
        <v>1.1000000000000001</v>
      </c>
      <c r="E48" s="65">
        <v>9.3000000000000007</v>
      </c>
    </row>
    <row r="49" spans="1:7" ht="16.5" customHeight="1" x14ac:dyDescent="0.3">
      <c r="A49" s="63">
        <v>5</v>
      </c>
      <c r="B49" s="64">
        <v>7502031</v>
      </c>
      <c r="C49" s="64">
        <v>66455.399999999994</v>
      </c>
      <c r="D49" s="65">
        <v>1.1000000000000001</v>
      </c>
      <c r="E49" s="65">
        <v>9.3000000000000007</v>
      </c>
    </row>
    <row r="50" spans="1:7" ht="16.5" customHeight="1" x14ac:dyDescent="0.3">
      <c r="A50" s="63">
        <v>6</v>
      </c>
      <c r="B50" s="67">
        <v>7472903</v>
      </c>
      <c r="C50" s="67">
        <v>66769.52</v>
      </c>
      <c r="D50" s="68">
        <v>1.1000000000000001</v>
      </c>
      <c r="E50" s="68">
        <v>9.3000000000000007</v>
      </c>
    </row>
    <row r="51" spans="1:7" ht="16.5" customHeight="1" x14ac:dyDescent="0.3">
      <c r="A51" s="69" t="s">
        <v>18</v>
      </c>
      <c r="B51" s="70">
        <f>AVERAGE(B45:B50)</f>
        <v>7548161.5</v>
      </c>
      <c r="C51" s="71">
        <f>AVERAGE(C45:C50)</f>
        <v>66348.736666666679</v>
      </c>
      <c r="D51" s="72">
        <f>AVERAGE(D45:D50)</f>
        <v>1.0999999999999999</v>
      </c>
      <c r="E51" s="72">
        <f>AVERAGE(E45:E50)</f>
        <v>9.2999999999999989</v>
      </c>
    </row>
    <row r="52" spans="1:7" ht="16.5" customHeight="1" x14ac:dyDescent="0.3">
      <c r="A52" s="73" t="s">
        <v>19</v>
      </c>
      <c r="B52" s="74">
        <f>(STDEV(B45:B50)/B51)</f>
        <v>8.1963731574697524E-3</v>
      </c>
      <c r="C52" s="75"/>
      <c r="D52" s="75"/>
      <c r="E52" s="76"/>
    </row>
    <row r="53" spans="1:7" s="49" customFormat="1" ht="16.5" customHeight="1" x14ac:dyDescent="0.3">
      <c r="A53" s="77" t="s">
        <v>20</v>
      </c>
      <c r="B53" s="78">
        <f>COUNT(B45:B50)</f>
        <v>6</v>
      </c>
      <c r="C53" s="79"/>
      <c r="D53" s="80"/>
      <c r="E53" s="81"/>
    </row>
    <row r="54" spans="1:7" s="49" customFormat="1" ht="15.75" customHeight="1" x14ac:dyDescent="0.25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2" t="s">
        <v>22</v>
      </c>
      <c r="C55" s="83"/>
      <c r="D55" s="83"/>
      <c r="E55" s="83"/>
    </row>
    <row r="56" spans="1:7" ht="16.5" customHeight="1" x14ac:dyDescent="0.3">
      <c r="A56" s="56"/>
      <c r="B56" s="82" t="s">
        <v>23</v>
      </c>
      <c r="C56" s="83"/>
      <c r="D56" s="83"/>
      <c r="E56" s="83"/>
    </row>
    <row r="57" spans="1:7" ht="16.5" customHeight="1" x14ac:dyDescent="0.3">
      <c r="A57" s="56"/>
      <c r="B57" s="82" t="s">
        <v>24</v>
      </c>
      <c r="C57" s="83"/>
      <c r="D57" s="83"/>
      <c r="E57" s="83"/>
    </row>
    <row r="58" spans="1:7" ht="14.25" customHeight="1" thickBot="1" x14ac:dyDescent="0.3">
      <c r="A58" s="84"/>
      <c r="B58" s="85"/>
      <c r="D58" s="86"/>
      <c r="F58" s="87"/>
      <c r="G58" s="87"/>
    </row>
    <row r="59" spans="1:7" ht="15" customHeight="1" x14ac:dyDescent="0.3">
      <c r="B59" s="587" t="s">
        <v>26</v>
      </c>
      <c r="C59" s="587"/>
      <c r="E59" s="88" t="s">
        <v>27</v>
      </c>
      <c r="F59" s="89"/>
      <c r="G59" s="88" t="s">
        <v>28</v>
      </c>
    </row>
    <row r="60" spans="1:7" ht="15" customHeight="1" x14ac:dyDescent="0.3">
      <c r="A60" s="90" t="s">
        <v>29</v>
      </c>
      <c r="B60" s="91"/>
      <c r="C60" s="91"/>
      <c r="E60" s="91"/>
      <c r="G60" s="91"/>
    </row>
    <row r="61" spans="1:7" ht="15" customHeight="1" x14ac:dyDescent="0.3">
      <c r="A61" s="90" t="s">
        <v>30</v>
      </c>
      <c r="B61" s="92"/>
      <c r="C61" s="92"/>
      <c r="E61" s="92"/>
      <c r="G61" s="9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0" workbookViewId="0">
      <selection activeCell="D51" sqref="D51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91" t="s">
        <v>31</v>
      </c>
      <c r="B11" s="592"/>
      <c r="C11" s="592"/>
      <c r="D11" s="592"/>
      <c r="E11" s="592"/>
      <c r="F11" s="593"/>
      <c r="G11" s="41"/>
    </row>
    <row r="12" spans="1:7" ht="16.5" customHeight="1" x14ac:dyDescent="0.3">
      <c r="A12" s="590" t="s">
        <v>32</v>
      </c>
      <c r="B12" s="590"/>
      <c r="C12" s="590"/>
      <c r="D12" s="590"/>
      <c r="E12" s="590"/>
      <c r="F12" s="590"/>
      <c r="G12" s="40"/>
    </row>
    <row r="14" spans="1:7" ht="16.5" customHeight="1" x14ac:dyDescent="0.3">
      <c r="A14" s="595" t="s">
        <v>33</v>
      </c>
      <c r="B14" s="595"/>
      <c r="C14" s="10" t="s">
        <v>5</v>
      </c>
    </row>
    <row r="15" spans="1:7" ht="16.5" customHeight="1" x14ac:dyDescent="0.3">
      <c r="A15" s="595" t="s">
        <v>34</v>
      </c>
      <c r="B15" s="595"/>
      <c r="C15" s="10" t="s">
        <v>7</v>
      </c>
    </row>
    <row r="16" spans="1:7" ht="16.5" customHeight="1" x14ac:dyDescent="0.3">
      <c r="A16" s="595" t="s">
        <v>35</v>
      </c>
      <c r="B16" s="595"/>
      <c r="C16" s="10" t="s">
        <v>9</v>
      </c>
    </row>
    <row r="17" spans="1:5" ht="16.5" customHeight="1" x14ac:dyDescent="0.3">
      <c r="A17" s="595" t="s">
        <v>36</v>
      </c>
      <c r="B17" s="595"/>
      <c r="C17" s="10" t="s">
        <v>11</v>
      </c>
    </row>
    <row r="18" spans="1:5" ht="16.5" customHeight="1" x14ac:dyDescent="0.3">
      <c r="A18" s="595" t="s">
        <v>37</v>
      </c>
      <c r="B18" s="595"/>
      <c r="C18" s="47" t="s">
        <v>12</v>
      </c>
    </row>
    <row r="19" spans="1:5" ht="16.5" customHeight="1" x14ac:dyDescent="0.3">
      <c r="A19" s="595" t="s">
        <v>38</v>
      </c>
      <c r="B19" s="595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590" t="s">
        <v>1</v>
      </c>
      <c r="B21" s="590"/>
      <c r="C21" s="9" t="s">
        <v>39</v>
      </c>
      <c r="D21" s="16"/>
    </row>
    <row r="22" spans="1:5" ht="15.75" customHeight="1" x14ac:dyDescent="0.3">
      <c r="A22" s="594"/>
      <c r="B22" s="594"/>
      <c r="C22" s="7"/>
      <c r="D22" s="594"/>
      <c r="E22" s="594"/>
    </row>
    <row r="23" spans="1:5" ht="33.75" customHeight="1" x14ac:dyDescent="0.3">
      <c r="C23" s="36" t="s">
        <v>40</v>
      </c>
      <c r="D23" s="35" t="s">
        <v>41</v>
      </c>
      <c r="E23" s="2"/>
    </row>
    <row r="24" spans="1:5" ht="15.75" customHeight="1" x14ac:dyDescent="0.3">
      <c r="C24" s="45">
        <v>298.77999999999997</v>
      </c>
      <c r="D24" s="37">
        <f t="shared" ref="D24:D43" si="0">(C24-$C$46)/$C$46</f>
        <v>-9.414179123034298E-3</v>
      </c>
      <c r="E24" s="3"/>
    </row>
    <row r="25" spans="1:5" ht="15.75" customHeight="1" x14ac:dyDescent="0.3">
      <c r="C25" s="45">
        <v>300.77</v>
      </c>
      <c r="D25" s="38">
        <f t="shared" si="0"/>
        <v>-2.8164624634681593E-3</v>
      </c>
      <c r="E25" s="3"/>
    </row>
    <row r="26" spans="1:5" ht="15.75" customHeight="1" x14ac:dyDescent="0.3">
      <c r="C26" s="45">
        <v>301.35000000000002</v>
      </c>
      <c r="D26" s="38">
        <f t="shared" si="0"/>
        <v>-8.9350986922262521E-4</v>
      </c>
      <c r="E26" s="3"/>
    </row>
    <row r="27" spans="1:5" ht="15.75" customHeight="1" x14ac:dyDescent="0.3">
      <c r="C27" s="45">
        <v>306.20999999999998</v>
      </c>
      <c r="D27" s="38">
        <f t="shared" si="0"/>
        <v>1.5219506696350743E-2</v>
      </c>
      <c r="E27" s="3"/>
    </row>
    <row r="28" spans="1:5" ht="15.75" customHeight="1" x14ac:dyDescent="0.3">
      <c r="C28" s="45">
        <v>304.74</v>
      </c>
      <c r="D28" s="38">
        <f t="shared" si="0"/>
        <v>1.0345816500590951E-2</v>
      </c>
      <c r="E28" s="3"/>
    </row>
    <row r="29" spans="1:5" ht="15.75" customHeight="1" x14ac:dyDescent="0.3">
      <c r="C29" s="45">
        <v>302.64</v>
      </c>
      <c r="D29" s="38">
        <f t="shared" si="0"/>
        <v>3.383401935219606E-3</v>
      </c>
      <c r="E29" s="3"/>
    </row>
    <row r="30" spans="1:5" ht="15.75" customHeight="1" x14ac:dyDescent="0.3">
      <c r="C30" s="45">
        <v>303.29000000000002</v>
      </c>
      <c r="D30" s="38">
        <f t="shared" si="0"/>
        <v>5.5384350149774927E-3</v>
      </c>
      <c r="E30" s="3"/>
    </row>
    <row r="31" spans="1:5" ht="15.75" customHeight="1" x14ac:dyDescent="0.3">
      <c r="C31" s="45">
        <v>303.57</v>
      </c>
      <c r="D31" s="38">
        <f t="shared" si="0"/>
        <v>6.4667569570269054E-3</v>
      </c>
      <c r="E31" s="3"/>
    </row>
    <row r="32" spans="1:5" ht="15.75" customHeight="1" x14ac:dyDescent="0.3">
      <c r="C32" s="45">
        <v>302.04000000000002</v>
      </c>
      <c r="D32" s="38">
        <f t="shared" si="0"/>
        <v>1.3941406308279275E-3</v>
      </c>
      <c r="E32" s="3"/>
    </row>
    <row r="33" spans="1:7" ht="15.75" customHeight="1" x14ac:dyDescent="0.3">
      <c r="C33" s="45">
        <v>301.13</v>
      </c>
      <c r="D33" s="38">
        <f t="shared" si="0"/>
        <v>-1.6229056808330393E-3</v>
      </c>
      <c r="E33" s="3"/>
    </row>
    <row r="34" spans="1:7" ht="15.75" customHeight="1" x14ac:dyDescent="0.3">
      <c r="C34" s="45">
        <v>301.11</v>
      </c>
      <c r="D34" s="38">
        <f t="shared" si="0"/>
        <v>-1.689214390979372E-3</v>
      </c>
      <c r="E34" s="3"/>
    </row>
    <row r="35" spans="1:7" ht="15.75" customHeight="1" x14ac:dyDescent="0.3">
      <c r="C35" s="45">
        <v>301.57</v>
      </c>
      <c r="D35" s="38">
        <f t="shared" si="0"/>
        <v>-1.641140576123997E-4</v>
      </c>
      <c r="E35" s="3"/>
    </row>
    <row r="36" spans="1:7" ht="15.75" customHeight="1" x14ac:dyDescent="0.3">
      <c r="C36" s="45">
        <v>299.08</v>
      </c>
      <c r="D36" s="38">
        <f t="shared" si="0"/>
        <v>-8.4195484708383655E-3</v>
      </c>
      <c r="E36" s="3"/>
    </row>
    <row r="37" spans="1:7" ht="15.75" customHeight="1" x14ac:dyDescent="0.3">
      <c r="C37" s="45">
        <v>298.95</v>
      </c>
      <c r="D37" s="38">
        <f t="shared" si="0"/>
        <v>-8.8505550867899047E-3</v>
      </c>
      <c r="E37" s="3"/>
    </row>
    <row r="38" spans="1:7" ht="15.75" customHeight="1" x14ac:dyDescent="0.3">
      <c r="C38" s="45">
        <v>303.99</v>
      </c>
      <c r="D38" s="38">
        <f t="shared" si="0"/>
        <v>7.8592398701012121E-3</v>
      </c>
      <c r="E38" s="3"/>
    </row>
    <row r="39" spans="1:7" ht="15.75" customHeight="1" x14ac:dyDescent="0.3">
      <c r="C39" s="45">
        <v>301.08999999999997</v>
      </c>
      <c r="D39" s="38">
        <f t="shared" si="0"/>
        <v>-1.7555231011258932E-3</v>
      </c>
      <c r="E39" s="3"/>
    </row>
    <row r="40" spans="1:7" ht="15.75" customHeight="1" x14ac:dyDescent="0.3">
      <c r="C40" s="45">
        <v>301.66000000000003</v>
      </c>
      <c r="D40" s="38">
        <f t="shared" si="0"/>
        <v>1.3427513804647459E-4</v>
      </c>
      <c r="E40" s="3"/>
    </row>
    <row r="41" spans="1:7" ht="15.75" customHeight="1" x14ac:dyDescent="0.3">
      <c r="C41" s="45">
        <v>301.17</v>
      </c>
      <c r="D41" s="38">
        <f t="shared" si="0"/>
        <v>-1.4902882605401853E-3</v>
      </c>
      <c r="E41" s="3"/>
    </row>
    <row r="42" spans="1:7" ht="15.75" customHeight="1" x14ac:dyDescent="0.3">
      <c r="C42" s="45">
        <v>298.70999999999998</v>
      </c>
      <c r="D42" s="38">
        <f t="shared" si="0"/>
        <v>-9.6462596085466513E-3</v>
      </c>
      <c r="E42" s="3"/>
    </row>
    <row r="43" spans="1:7" ht="16.5" customHeight="1" x14ac:dyDescent="0.3">
      <c r="C43" s="46">
        <v>300.54000000000002</v>
      </c>
      <c r="D43" s="39">
        <f t="shared" si="0"/>
        <v>-3.5790126301515515E-3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42</v>
      </c>
      <c r="C45" s="33">
        <f>SUM(C24:C44)</f>
        <v>6032.39</v>
      </c>
      <c r="D45" s="28"/>
      <c r="E45" s="4"/>
    </row>
    <row r="46" spans="1:7" ht="17.25" customHeight="1" x14ac:dyDescent="0.3">
      <c r="B46" s="32" t="s">
        <v>43</v>
      </c>
      <c r="C46" s="34">
        <f>AVERAGE(C24:C44)</f>
        <v>301.61950000000002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43</v>
      </c>
      <c r="C48" s="35" t="s">
        <v>44</v>
      </c>
      <c r="D48" s="30"/>
      <c r="G48" s="8"/>
    </row>
    <row r="49" spans="1:6" ht="17.25" customHeight="1" x14ac:dyDescent="0.3">
      <c r="B49" s="588">
        <f>C46</f>
        <v>301.61950000000002</v>
      </c>
      <c r="C49" s="43">
        <f>-IF(C46&lt;=80,10%,IF(C46&lt;250,7.5%,5%))</f>
        <v>-0.05</v>
      </c>
      <c r="D49" s="31">
        <f>IF(C46&lt;=80,C46*0.9,IF(C46&lt;250,C46*0.925,C46*0.95))</f>
        <v>286.53852499999999</v>
      </c>
    </row>
    <row r="50" spans="1:6" ht="17.25" customHeight="1" x14ac:dyDescent="0.3">
      <c r="B50" s="589"/>
      <c r="C50" s="44">
        <f>IF(C46&lt;=80, 10%, IF(C46&lt;250, 7.5%, 5%))</f>
        <v>0.05</v>
      </c>
      <c r="D50" s="31">
        <f>IF(C46&lt;=80, C46*1.1, IF(C46&lt;250, C46*1.075, C46*1.05))</f>
        <v>316.70047500000004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 x14ac:dyDescent="0.3">
      <c r="A53" s="20" t="s">
        <v>29</v>
      </c>
      <c r="B53" s="21"/>
      <c r="C53" s="22"/>
      <c r="D53" s="21"/>
      <c r="E53" s="11"/>
      <c r="F53" s="23"/>
    </row>
    <row r="54" spans="1:6" ht="34.5" customHeight="1" x14ac:dyDescent="0.3">
      <c r="A54" s="20" t="s">
        <v>30</v>
      </c>
      <c r="B54" s="24"/>
      <c r="C54" s="25"/>
      <c r="D54" s="24"/>
      <c r="E54" s="11"/>
      <c r="F54" s="2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7" zoomScale="60" zoomScaleNormal="40" zoomScalePageLayoutView="55" workbookViewId="0">
      <selection activeCell="F55" sqref="F55"/>
    </sheetView>
  </sheetViews>
  <sheetFormatPr defaultColWidth="9.140625" defaultRowHeight="13.5" x14ac:dyDescent="0.25"/>
  <cols>
    <col min="1" max="1" width="55.42578125" style="49" customWidth="1"/>
    <col min="2" max="2" width="33.7109375" style="49" customWidth="1"/>
    <col min="3" max="3" width="42.28515625" style="49" customWidth="1"/>
    <col min="4" max="4" width="30.5703125" style="49" customWidth="1"/>
    <col min="5" max="5" width="39.85546875" style="49" customWidth="1"/>
    <col min="6" max="6" width="30.7109375" style="49" customWidth="1"/>
    <col min="7" max="7" width="39.85546875" style="49" customWidth="1"/>
    <col min="8" max="8" width="30" style="49" customWidth="1"/>
    <col min="9" max="9" width="30.28515625" style="49" hidden="1" customWidth="1"/>
    <col min="10" max="10" width="30.42578125" style="49" customWidth="1"/>
    <col min="11" max="11" width="21.28515625" style="49" customWidth="1"/>
    <col min="12" max="12" width="9.140625" style="49"/>
    <col min="13" max="16384" width="9.140625" style="87"/>
  </cols>
  <sheetData>
    <row r="1" spans="1:9" ht="18.75" customHeight="1" x14ac:dyDescent="0.25">
      <c r="A1" s="599" t="s">
        <v>45</v>
      </c>
      <c r="B1" s="599"/>
      <c r="C1" s="599"/>
      <c r="D1" s="599"/>
      <c r="E1" s="599"/>
      <c r="F1" s="599"/>
      <c r="G1" s="599"/>
      <c r="H1" s="599"/>
      <c r="I1" s="599"/>
    </row>
    <row r="2" spans="1:9" ht="18.75" customHeight="1" x14ac:dyDescent="0.25">
      <c r="A2" s="599"/>
      <c r="B2" s="599"/>
      <c r="C2" s="599"/>
      <c r="D2" s="599"/>
      <c r="E2" s="599"/>
      <c r="F2" s="599"/>
      <c r="G2" s="599"/>
      <c r="H2" s="599"/>
      <c r="I2" s="599"/>
    </row>
    <row r="3" spans="1:9" ht="18.75" customHeight="1" x14ac:dyDescent="0.25">
      <c r="A3" s="599"/>
      <c r="B3" s="599"/>
      <c r="C3" s="599"/>
      <c r="D3" s="599"/>
      <c r="E3" s="599"/>
      <c r="F3" s="599"/>
      <c r="G3" s="599"/>
      <c r="H3" s="599"/>
      <c r="I3" s="599"/>
    </row>
    <row r="4" spans="1:9" ht="18.75" customHeight="1" x14ac:dyDescent="0.25">
      <c r="A4" s="599"/>
      <c r="B4" s="599"/>
      <c r="C4" s="599"/>
      <c r="D4" s="599"/>
      <c r="E4" s="599"/>
      <c r="F4" s="599"/>
      <c r="G4" s="599"/>
      <c r="H4" s="599"/>
      <c r="I4" s="599"/>
    </row>
    <row r="5" spans="1:9" ht="18.75" customHeight="1" x14ac:dyDescent="0.25">
      <c r="A5" s="599"/>
      <c r="B5" s="599"/>
      <c r="C5" s="599"/>
      <c r="D5" s="599"/>
      <c r="E5" s="599"/>
      <c r="F5" s="599"/>
      <c r="G5" s="599"/>
      <c r="H5" s="599"/>
      <c r="I5" s="599"/>
    </row>
    <row r="6" spans="1:9" ht="18.75" customHeight="1" x14ac:dyDescent="0.25">
      <c r="A6" s="599"/>
      <c r="B6" s="599"/>
      <c r="C6" s="599"/>
      <c r="D6" s="599"/>
      <c r="E6" s="599"/>
      <c r="F6" s="599"/>
      <c r="G6" s="599"/>
      <c r="H6" s="599"/>
      <c r="I6" s="599"/>
    </row>
    <row r="7" spans="1:9" ht="18.75" customHeight="1" x14ac:dyDescent="0.25">
      <c r="A7" s="599"/>
      <c r="B7" s="599"/>
      <c r="C7" s="599"/>
      <c r="D7" s="599"/>
      <c r="E7" s="599"/>
      <c r="F7" s="599"/>
      <c r="G7" s="599"/>
      <c r="H7" s="599"/>
      <c r="I7" s="599"/>
    </row>
    <row r="8" spans="1:9" x14ac:dyDescent="0.25">
      <c r="A8" s="600" t="s">
        <v>46</v>
      </c>
      <c r="B8" s="600"/>
      <c r="C8" s="600"/>
      <c r="D8" s="600"/>
      <c r="E8" s="600"/>
      <c r="F8" s="600"/>
      <c r="G8" s="600"/>
      <c r="H8" s="600"/>
      <c r="I8" s="600"/>
    </row>
    <row r="9" spans="1:9" x14ac:dyDescent="0.25">
      <c r="A9" s="600"/>
      <c r="B9" s="600"/>
      <c r="C9" s="600"/>
      <c r="D9" s="600"/>
      <c r="E9" s="600"/>
      <c r="F9" s="600"/>
      <c r="G9" s="600"/>
      <c r="H9" s="600"/>
      <c r="I9" s="600"/>
    </row>
    <row r="10" spans="1:9" x14ac:dyDescent="0.25">
      <c r="A10" s="600"/>
      <c r="B10" s="600"/>
      <c r="C10" s="600"/>
      <c r="D10" s="600"/>
      <c r="E10" s="600"/>
      <c r="F10" s="600"/>
      <c r="G10" s="600"/>
      <c r="H10" s="600"/>
      <c r="I10" s="600"/>
    </row>
    <row r="11" spans="1:9" x14ac:dyDescent="0.25">
      <c r="A11" s="600"/>
      <c r="B11" s="600"/>
      <c r="C11" s="600"/>
      <c r="D11" s="600"/>
      <c r="E11" s="600"/>
      <c r="F11" s="600"/>
      <c r="G11" s="600"/>
      <c r="H11" s="600"/>
      <c r="I11" s="600"/>
    </row>
    <row r="12" spans="1:9" x14ac:dyDescent="0.25">
      <c r="A12" s="600"/>
      <c r="B12" s="600"/>
      <c r="C12" s="600"/>
      <c r="D12" s="600"/>
      <c r="E12" s="600"/>
      <c r="F12" s="600"/>
      <c r="G12" s="600"/>
      <c r="H12" s="600"/>
      <c r="I12" s="600"/>
    </row>
    <row r="13" spans="1:9" x14ac:dyDescent="0.25">
      <c r="A13" s="600"/>
      <c r="B13" s="600"/>
      <c r="C13" s="600"/>
      <c r="D13" s="600"/>
      <c r="E13" s="600"/>
      <c r="F13" s="600"/>
      <c r="G13" s="600"/>
      <c r="H13" s="600"/>
      <c r="I13" s="600"/>
    </row>
    <row r="14" spans="1:9" x14ac:dyDescent="0.25">
      <c r="A14" s="600"/>
      <c r="B14" s="600"/>
      <c r="C14" s="600"/>
      <c r="D14" s="600"/>
      <c r="E14" s="600"/>
      <c r="F14" s="600"/>
      <c r="G14" s="600"/>
      <c r="H14" s="600"/>
      <c r="I14" s="600"/>
    </row>
    <row r="15" spans="1:9" ht="19.5" customHeight="1" thickBot="1" x14ac:dyDescent="0.35">
      <c r="A15" s="94"/>
    </row>
    <row r="16" spans="1:9" ht="19.5" customHeight="1" thickBot="1" x14ac:dyDescent="0.35">
      <c r="A16" s="601" t="s">
        <v>31</v>
      </c>
      <c r="B16" s="602"/>
      <c r="C16" s="602"/>
      <c r="D16" s="602"/>
      <c r="E16" s="602"/>
      <c r="F16" s="602"/>
      <c r="G16" s="602"/>
      <c r="H16" s="603"/>
    </row>
    <row r="17" spans="1:14" ht="20.25" customHeight="1" x14ac:dyDescent="0.25">
      <c r="A17" s="604" t="s">
        <v>47</v>
      </c>
      <c r="B17" s="604"/>
      <c r="C17" s="604"/>
      <c r="D17" s="604"/>
      <c r="E17" s="604"/>
      <c r="F17" s="604"/>
      <c r="G17" s="604"/>
      <c r="H17" s="604"/>
    </row>
    <row r="18" spans="1:14" ht="26.25" customHeight="1" x14ac:dyDescent="0.4">
      <c r="A18" s="95" t="s">
        <v>33</v>
      </c>
      <c r="B18" s="605" t="s">
        <v>5</v>
      </c>
      <c r="C18" s="605"/>
      <c r="D18" s="96"/>
      <c r="E18" s="97"/>
      <c r="F18" s="98"/>
      <c r="G18" s="98"/>
      <c r="H18" s="98"/>
    </row>
    <row r="19" spans="1:14" ht="26.25" customHeight="1" x14ac:dyDescent="0.4">
      <c r="A19" s="95" t="s">
        <v>34</v>
      </c>
      <c r="B19" s="99" t="s">
        <v>7</v>
      </c>
      <c r="C19" s="98">
        <v>29</v>
      </c>
      <c r="D19" s="98"/>
      <c r="E19" s="98"/>
      <c r="F19" s="98"/>
      <c r="G19" s="98"/>
      <c r="H19" s="98"/>
    </row>
    <row r="20" spans="1:14" ht="26.25" customHeight="1" x14ac:dyDescent="0.4">
      <c r="A20" s="95" t="s">
        <v>35</v>
      </c>
      <c r="B20" s="606" t="s">
        <v>125</v>
      </c>
      <c r="C20" s="606"/>
      <c r="D20" s="98"/>
      <c r="E20" s="98"/>
      <c r="F20" s="98"/>
      <c r="G20" s="98"/>
      <c r="H20" s="98"/>
    </row>
    <row r="21" spans="1:14" ht="26.25" customHeight="1" x14ac:dyDescent="0.4">
      <c r="A21" s="95" t="s">
        <v>36</v>
      </c>
      <c r="B21" s="606" t="s">
        <v>126</v>
      </c>
      <c r="C21" s="606"/>
      <c r="D21" s="606"/>
      <c r="E21" s="606"/>
      <c r="F21" s="606"/>
      <c r="G21" s="606"/>
      <c r="H21" s="606"/>
      <c r="I21" s="100"/>
    </row>
    <row r="22" spans="1:14" ht="26.25" customHeight="1" x14ac:dyDescent="0.4">
      <c r="A22" s="95" t="s">
        <v>37</v>
      </c>
      <c r="B22" s="101">
        <v>42531.493668981479</v>
      </c>
      <c r="C22" s="98"/>
      <c r="D22" s="98"/>
      <c r="E22" s="98"/>
      <c r="F22" s="98"/>
      <c r="G22" s="98"/>
      <c r="H22" s="98"/>
    </row>
    <row r="23" spans="1:14" ht="26.25" customHeight="1" x14ac:dyDescent="0.4">
      <c r="A23" s="95" t="s">
        <v>38</v>
      </c>
      <c r="B23" s="101">
        <v>42535.41033564815</v>
      </c>
      <c r="C23" s="98"/>
      <c r="D23" s="98"/>
      <c r="E23" s="98"/>
      <c r="F23" s="98"/>
      <c r="G23" s="98"/>
      <c r="H23" s="98"/>
    </row>
    <row r="24" spans="1:14" ht="18.75" x14ac:dyDescent="0.3">
      <c r="A24" s="95"/>
      <c r="B24" s="102"/>
    </row>
    <row r="25" spans="1:14" ht="18.75" x14ac:dyDescent="0.3">
      <c r="A25" s="103" t="s">
        <v>1</v>
      </c>
      <c r="B25" s="102"/>
    </row>
    <row r="26" spans="1:14" ht="26.25" customHeight="1" x14ac:dyDescent="0.4">
      <c r="A26" s="104" t="s">
        <v>4</v>
      </c>
      <c r="B26" s="605" t="s">
        <v>127</v>
      </c>
      <c r="C26" s="605"/>
    </row>
    <row r="27" spans="1:14" ht="26.25" customHeight="1" x14ac:dyDescent="0.4">
      <c r="A27" s="105" t="s">
        <v>48</v>
      </c>
      <c r="B27" s="607" t="s">
        <v>128</v>
      </c>
      <c r="C27" s="607"/>
    </row>
    <row r="28" spans="1:14" ht="27" customHeight="1" thickBot="1" x14ac:dyDescent="0.45">
      <c r="A28" s="105" t="s">
        <v>6</v>
      </c>
      <c r="B28" s="106">
        <v>98.5</v>
      </c>
    </row>
    <row r="29" spans="1:14" s="61" customFormat="1" ht="27" customHeight="1" thickBot="1" x14ac:dyDescent="0.45">
      <c r="A29" s="105" t="s">
        <v>49</v>
      </c>
      <c r="B29" s="107">
        <v>0</v>
      </c>
      <c r="C29" s="608" t="s">
        <v>50</v>
      </c>
      <c r="D29" s="609"/>
      <c r="E29" s="609"/>
      <c r="F29" s="609"/>
      <c r="G29" s="610"/>
      <c r="I29" s="108"/>
      <c r="J29" s="108"/>
      <c r="K29" s="108"/>
      <c r="L29" s="108"/>
    </row>
    <row r="30" spans="1:14" s="61" customFormat="1" ht="19.5" customHeight="1" thickBot="1" x14ac:dyDescent="0.35">
      <c r="A30" s="105" t="s">
        <v>51</v>
      </c>
      <c r="B30" s="109">
        <f>B28-B29</f>
        <v>98.5</v>
      </c>
      <c r="C30" s="110"/>
      <c r="D30" s="110"/>
      <c r="E30" s="110"/>
      <c r="F30" s="110"/>
      <c r="G30" s="111"/>
      <c r="I30" s="108"/>
      <c r="J30" s="108"/>
      <c r="K30" s="108"/>
      <c r="L30" s="108"/>
    </row>
    <row r="31" spans="1:14" s="61" customFormat="1" ht="27" customHeight="1" thickBot="1" x14ac:dyDescent="0.45">
      <c r="A31" s="105" t="s">
        <v>52</v>
      </c>
      <c r="B31" s="112">
        <v>1</v>
      </c>
      <c r="C31" s="596" t="s">
        <v>53</v>
      </c>
      <c r="D31" s="597"/>
      <c r="E31" s="597"/>
      <c r="F31" s="597"/>
      <c r="G31" s="597"/>
      <c r="H31" s="598"/>
      <c r="I31" s="108"/>
      <c r="J31" s="108"/>
      <c r="K31" s="108"/>
      <c r="L31" s="108"/>
    </row>
    <row r="32" spans="1:14" s="61" customFormat="1" ht="27" customHeight="1" thickBot="1" x14ac:dyDescent="0.45">
      <c r="A32" s="105" t="s">
        <v>54</v>
      </c>
      <c r="B32" s="112">
        <v>1</v>
      </c>
      <c r="C32" s="596" t="s">
        <v>55</v>
      </c>
      <c r="D32" s="597"/>
      <c r="E32" s="597"/>
      <c r="F32" s="597"/>
      <c r="G32" s="597"/>
      <c r="H32" s="598"/>
      <c r="I32" s="108"/>
      <c r="J32" s="108"/>
      <c r="K32" s="108"/>
      <c r="L32" s="113"/>
      <c r="M32" s="113"/>
      <c r="N32" s="114"/>
    </row>
    <row r="33" spans="1:14" s="61" customFormat="1" ht="17.25" customHeight="1" x14ac:dyDescent="0.3">
      <c r="A33" s="105"/>
      <c r="B33" s="115"/>
      <c r="C33" s="116"/>
      <c r="D33" s="116"/>
      <c r="E33" s="116"/>
      <c r="F33" s="116"/>
      <c r="G33" s="116"/>
      <c r="H33" s="116"/>
      <c r="I33" s="108"/>
      <c r="J33" s="108"/>
      <c r="K33" s="108"/>
      <c r="L33" s="113"/>
      <c r="M33" s="113"/>
      <c r="N33" s="114"/>
    </row>
    <row r="34" spans="1:14" s="61" customFormat="1" ht="18.75" x14ac:dyDescent="0.3">
      <c r="A34" s="105" t="s">
        <v>56</v>
      </c>
      <c r="B34" s="117">
        <f>B31/B32</f>
        <v>1</v>
      </c>
      <c r="C34" s="94" t="s">
        <v>57</v>
      </c>
      <c r="D34" s="94"/>
      <c r="E34" s="94"/>
      <c r="F34" s="94"/>
      <c r="G34" s="94"/>
      <c r="I34" s="108"/>
      <c r="J34" s="108"/>
      <c r="K34" s="108"/>
      <c r="L34" s="113"/>
      <c r="M34" s="113"/>
      <c r="N34" s="114"/>
    </row>
    <row r="35" spans="1:14" s="61" customFormat="1" ht="19.5" customHeight="1" thickBot="1" x14ac:dyDescent="0.35">
      <c r="A35" s="105"/>
      <c r="B35" s="109"/>
      <c r="G35" s="94"/>
      <c r="I35" s="108"/>
      <c r="J35" s="108"/>
      <c r="K35" s="108"/>
      <c r="L35" s="113"/>
      <c r="M35" s="113"/>
      <c r="N35" s="114"/>
    </row>
    <row r="36" spans="1:14" s="61" customFormat="1" ht="27" customHeight="1" thickBot="1" x14ac:dyDescent="0.45">
      <c r="A36" s="118" t="s">
        <v>58</v>
      </c>
      <c r="B36" s="119">
        <v>100</v>
      </c>
      <c r="C36" s="94"/>
      <c r="D36" s="611" t="s">
        <v>59</v>
      </c>
      <c r="E36" s="612"/>
      <c r="F36" s="611" t="s">
        <v>60</v>
      </c>
      <c r="G36" s="613"/>
      <c r="J36" s="108"/>
      <c r="K36" s="108"/>
      <c r="L36" s="113"/>
      <c r="M36" s="113"/>
      <c r="N36" s="114"/>
    </row>
    <row r="37" spans="1:14" s="61" customFormat="1" ht="27" customHeight="1" thickBot="1" x14ac:dyDescent="0.45">
      <c r="A37" s="120" t="s">
        <v>61</v>
      </c>
      <c r="B37" s="121">
        <v>1</v>
      </c>
      <c r="C37" s="122" t="s">
        <v>62</v>
      </c>
      <c r="D37" s="123" t="s">
        <v>63</v>
      </c>
      <c r="E37" s="124" t="s">
        <v>64</v>
      </c>
      <c r="F37" s="123" t="s">
        <v>63</v>
      </c>
      <c r="G37" s="125" t="s">
        <v>64</v>
      </c>
      <c r="I37" s="126" t="s">
        <v>65</v>
      </c>
      <c r="J37" s="108"/>
      <c r="K37" s="108"/>
      <c r="L37" s="113"/>
      <c r="M37" s="113"/>
      <c r="N37" s="114"/>
    </row>
    <row r="38" spans="1:14" s="61" customFormat="1" ht="26.25" customHeight="1" x14ac:dyDescent="0.4">
      <c r="A38" s="120" t="s">
        <v>66</v>
      </c>
      <c r="B38" s="121">
        <v>1</v>
      </c>
      <c r="C38" s="127">
        <v>1</v>
      </c>
      <c r="D38" s="128">
        <v>7689427</v>
      </c>
      <c r="E38" s="129">
        <f>IF(ISBLANK(D38),"-",$D$48/$D$45*D38)</f>
        <v>6333894.4203622285</v>
      </c>
      <c r="F38" s="128">
        <v>6309297</v>
      </c>
      <c r="G38" s="130">
        <f>IF(ISBLANK(F38),"-",$D$48/$F$45*F38)</f>
        <v>6310716.9113050438</v>
      </c>
      <c r="I38" s="131"/>
      <c r="J38" s="108"/>
      <c r="K38" s="108"/>
      <c r="L38" s="113"/>
      <c r="M38" s="113"/>
      <c r="N38" s="114"/>
    </row>
    <row r="39" spans="1:14" s="61" customFormat="1" ht="26.25" customHeight="1" x14ac:dyDescent="0.4">
      <c r="A39" s="120" t="s">
        <v>67</v>
      </c>
      <c r="B39" s="121">
        <v>1</v>
      </c>
      <c r="C39" s="132">
        <v>2</v>
      </c>
      <c r="D39" s="133">
        <v>7689148</v>
      </c>
      <c r="E39" s="134">
        <f>IF(ISBLANK(D39),"-",$D$48/$D$45*D39)</f>
        <v>6333664.6039476534</v>
      </c>
      <c r="F39" s="133">
        <v>6308213</v>
      </c>
      <c r="G39" s="135">
        <f>IF(ISBLANK(F39),"-",$D$48/$F$45*F39)</f>
        <v>6309632.6673501544</v>
      </c>
      <c r="I39" s="614">
        <f>ABS((F43/D43*D42)-F42)/D42</f>
        <v>3.000234786790951E-3</v>
      </c>
      <c r="J39" s="108"/>
      <c r="K39" s="108"/>
      <c r="L39" s="113"/>
      <c r="M39" s="113"/>
      <c r="N39" s="114"/>
    </row>
    <row r="40" spans="1:14" ht="26.25" customHeight="1" x14ac:dyDescent="0.4">
      <c r="A40" s="120" t="s">
        <v>68</v>
      </c>
      <c r="B40" s="121">
        <v>1</v>
      </c>
      <c r="C40" s="132">
        <v>3</v>
      </c>
      <c r="D40" s="133">
        <v>7687659</v>
      </c>
      <c r="E40" s="134">
        <f>IF(ISBLANK(D40),"-",$D$48/$D$45*D40)</f>
        <v>6332438.0926885018</v>
      </c>
      <c r="F40" s="133">
        <v>6309008</v>
      </c>
      <c r="G40" s="135">
        <f>IF(ISBLANK(F40),"-",$D$48/$F$45*F40)</f>
        <v>6310427.8462654101</v>
      </c>
      <c r="I40" s="614"/>
      <c r="L40" s="113"/>
      <c r="M40" s="113"/>
      <c r="N40" s="94"/>
    </row>
    <row r="41" spans="1:14" ht="27" customHeight="1" thickBot="1" x14ac:dyDescent="0.45">
      <c r="A41" s="120" t="s">
        <v>69</v>
      </c>
      <c r="B41" s="121">
        <v>1</v>
      </c>
      <c r="C41" s="136">
        <v>4</v>
      </c>
      <c r="D41" s="137"/>
      <c r="E41" s="138" t="str">
        <f>IF(ISBLANK(D41),"-",$D$48/$D$45*D41)</f>
        <v>-</v>
      </c>
      <c r="F41" s="137"/>
      <c r="G41" s="139" t="str">
        <f>IF(ISBLANK(F41),"-",$D$48/$F$45*F41)</f>
        <v>-</v>
      </c>
      <c r="I41" s="140"/>
      <c r="L41" s="113"/>
      <c r="M41" s="113"/>
      <c r="N41" s="94"/>
    </row>
    <row r="42" spans="1:14" ht="27" customHeight="1" thickBot="1" x14ac:dyDescent="0.45">
      <c r="A42" s="120" t="s">
        <v>70</v>
      </c>
      <c r="B42" s="121">
        <v>1</v>
      </c>
      <c r="C42" s="141" t="s">
        <v>71</v>
      </c>
      <c r="D42" s="142">
        <f>AVERAGE(D38:D41)</f>
        <v>7688744.666666667</v>
      </c>
      <c r="E42" s="143">
        <f>AVERAGE(E38:E41)</f>
        <v>6333332.3723327937</v>
      </c>
      <c r="F42" s="142">
        <f>AVERAGE(F38:F41)</f>
        <v>6308839.333333333</v>
      </c>
      <c r="G42" s="144">
        <f>AVERAGE(G38:G41)</f>
        <v>6310259.1416402021</v>
      </c>
      <c r="H42" s="85"/>
    </row>
    <row r="43" spans="1:14" ht="26.25" customHeight="1" x14ac:dyDescent="0.4">
      <c r="A43" s="120" t="s">
        <v>72</v>
      </c>
      <c r="B43" s="121">
        <v>1</v>
      </c>
      <c r="C43" s="145" t="s">
        <v>73</v>
      </c>
      <c r="D43" s="146">
        <v>9.86</v>
      </c>
      <c r="E43" s="94"/>
      <c r="F43" s="146">
        <v>8.1199999999999992</v>
      </c>
      <c r="H43" s="85"/>
    </row>
    <row r="44" spans="1:14" ht="26.25" customHeight="1" x14ac:dyDescent="0.4">
      <c r="A44" s="120" t="s">
        <v>74</v>
      </c>
      <c r="B44" s="121">
        <v>1</v>
      </c>
      <c r="C44" s="147" t="s">
        <v>75</v>
      </c>
      <c r="D44" s="148">
        <f>D43*$B$34</f>
        <v>9.86</v>
      </c>
      <c r="E44" s="149"/>
      <c r="F44" s="148">
        <f>F43*$B$34</f>
        <v>8.1199999999999992</v>
      </c>
      <c r="H44" s="85"/>
    </row>
    <row r="45" spans="1:14" ht="19.5" customHeight="1" thickBot="1" x14ac:dyDescent="0.35">
      <c r="A45" s="120" t="s">
        <v>76</v>
      </c>
      <c r="B45" s="132">
        <f>(B44/B43)*(B42/B41)*(B40/B39)*(B38/B37)*B36</f>
        <v>100</v>
      </c>
      <c r="C45" s="147" t="s">
        <v>77</v>
      </c>
      <c r="D45" s="150">
        <f>D44*$B$30/100</f>
        <v>9.7120999999999995</v>
      </c>
      <c r="E45" s="151"/>
      <c r="F45" s="150">
        <f>F44*$B$30/100</f>
        <v>7.9981999999999998</v>
      </c>
      <c r="H45" s="85"/>
    </row>
    <row r="46" spans="1:14" ht="19.5" customHeight="1" thickBot="1" x14ac:dyDescent="0.35">
      <c r="A46" s="615" t="s">
        <v>78</v>
      </c>
      <c r="B46" s="616"/>
      <c r="C46" s="147" t="s">
        <v>79</v>
      </c>
      <c r="D46" s="152">
        <f>D45/$B$45</f>
        <v>9.7120999999999999E-2</v>
      </c>
      <c r="E46" s="153"/>
      <c r="F46" s="154">
        <f>F45/$B$45</f>
        <v>7.9981999999999998E-2</v>
      </c>
      <c r="H46" s="85"/>
    </row>
    <row r="47" spans="1:14" ht="27" customHeight="1" thickBot="1" x14ac:dyDescent="0.45">
      <c r="A47" s="617"/>
      <c r="B47" s="618"/>
      <c r="C47" s="155" t="s">
        <v>80</v>
      </c>
      <c r="D47" s="156">
        <v>0.08</v>
      </c>
      <c r="E47" s="157"/>
      <c r="F47" s="153"/>
      <c r="H47" s="85"/>
    </row>
    <row r="48" spans="1:14" ht="18.75" x14ac:dyDescent="0.3">
      <c r="C48" s="158" t="s">
        <v>81</v>
      </c>
      <c r="D48" s="150">
        <f>D47*$B$45</f>
        <v>8</v>
      </c>
      <c r="F48" s="159"/>
      <c r="H48" s="85"/>
    </row>
    <row r="49" spans="1:12" ht="19.5" customHeight="1" thickBot="1" x14ac:dyDescent="0.35">
      <c r="C49" s="160" t="s">
        <v>82</v>
      </c>
      <c r="D49" s="161">
        <f>D48/B34</f>
        <v>8</v>
      </c>
      <c r="F49" s="159"/>
      <c r="H49" s="85"/>
    </row>
    <row r="50" spans="1:12" ht="18.75" x14ac:dyDescent="0.3">
      <c r="C50" s="118" t="s">
        <v>83</v>
      </c>
      <c r="D50" s="162">
        <f>AVERAGE(E38:E41,G38:G41)</f>
        <v>6321795.7569864988</v>
      </c>
      <c r="F50" s="163"/>
      <c r="H50" s="85"/>
    </row>
    <row r="51" spans="1:12" ht="18.75" x14ac:dyDescent="0.3">
      <c r="C51" s="120" t="s">
        <v>84</v>
      </c>
      <c r="D51" s="164">
        <f>STDEV(E38:E41,G38:G41)/D50</f>
        <v>2.0013950138744576E-3</v>
      </c>
      <c r="F51" s="163"/>
      <c r="H51" s="85"/>
    </row>
    <row r="52" spans="1:12" ht="19.5" customHeight="1" thickBot="1" x14ac:dyDescent="0.35">
      <c r="C52" s="165" t="s">
        <v>20</v>
      </c>
      <c r="D52" s="166">
        <f>COUNT(E38:E41,G38:G41)</f>
        <v>6</v>
      </c>
      <c r="F52" s="163"/>
    </row>
    <row r="54" spans="1:12" ht="18.75" x14ac:dyDescent="0.3">
      <c r="A54" s="167" t="s">
        <v>1</v>
      </c>
      <c r="B54" s="168" t="s">
        <v>85</v>
      </c>
    </row>
    <row r="55" spans="1:12" ht="18.75" x14ac:dyDescent="0.3">
      <c r="A55" s="94" t="s">
        <v>86</v>
      </c>
      <c r="B55" s="169" t="str">
        <f>B21</f>
        <v xml:space="preserve">Rifampicin 60mg, Isoniazid 30mg, Pyrazinamide 150mg 
</v>
      </c>
    </row>
    <row r="56" spans="1:12" ht="26.25" customHeight="1" x14ac:dyDescent="0.4">
      <c r="A56" s="169" t="s">
        <v>87</v>
      </c>
      <c r="B56" s="170">
        <v>30</v>
      </c>
      <c r="C56" s="94" t="str">
        <f>B20</f>
        <v xml:space="preserve">Rifampicin, Isoniazid, Pyrazinamide 
</v>
      </c>
      <c r="H56" s="149"/>
    </row>
    <row r="57" spans="1:12" ht="18.75" x14ac:dyDescent="0.3">
      <c r="A57" s="169" t="s">
        <v>88</v>
      </c>
      <c r="B57" s="171">
        <f>Uniformity!C46</f>
        <v>301.61950000000002</v>
      </c>
      <c r="H57" s="149"/>
    </row>
    <row r="58" spans="1:12" ht="19.5" customHeight="1" thickBot="1" x14ac:dyDescent="0.35">
      <c r="H58" s="149"/>
    </row>
    <row r="59" spans="1:12" s="61" customFormat="1" ht="27" customHeight="1" thickBot="1" x14ac:dyDescent="0.45">
      <c r="A59" s="118" t="s">
        <v>89</v>
      </c>
      <c r="B59" s="119">
        <v>100</v>
      </c>
      <c r="C59" s="94"/>
      <c r="D59" s="172" t="s">
        <v>90</v>
      </c>
      <c r="E59" s="173" t="s">
        <v>62</v>
      </c>
      <c r="F59" s="173" t="s">
        <v>63</v>
      </c>
      <c r="G59" s="173" t="s">
        <v>91</v>
      </c>
      <c r="H59" s="122" t="s">
        <v>92</v>
      </c>
      <c r="L59" s="108"/>
    </row>
    <row r="60" spans="1:12" s="61" customFormat="1" ht="26.25" customHeight="1" x14ac:dyDescent="0.4">
      <c r="A60" s="120" t="s">
        <v>93</v>
      </c>
      <c r="B60" s="121">
        <v>1</v>
      </c>
      <c r="C60" s="619" t="s">
        <v>94</v>
      </c>
      <c r="D60" s="622">
        <v>80.7</v>
      </c>
      <c r="E60" s="174">
        <v>1</v>
      </c>
      <c r="F60" s="175"/>
      <c r="G60" s="176" t="str">
        <f>IF(ISBLANK(F60),"-",(F60/$D$50*$D$47*$B$68)*($B$57/$D$60))</f>
        <v>-</v>
      </c>
      <c r="H60" s="177" t="str">
        <f t="shared" ref="H60:H71" si="0">IF(ISBLANK(F60),"-",G60/$B$56)</f>
        <v>-</v>
      </c>
      <c r="L60" s="108"/>
    </row>
    <row r="61" spans="1:12" s="61" customFormat="1" ht="26.25" customHeight="1" x14ac:dyDescent="0.4">
      <c r="A61" s="120" t="s">
        <v>95</v>
      </c>
      <c r="B61" s="121">
        <v>1</v>
      </c>
      <c r="C61" s="620"/>
      <c r="D61" s="623"/>
      <c r="E61" s="178">
        <v>2</v>
      </c>
      <c r="F61" s="133"/>
      <c r="G61" s="179" t="str">
        <f>IF(ISBLANK(F61),"-",(F61/$D$50*$D$47*$B$68)*($B$57/$D$60))</f>
        <v>-</v>
      </c>
      <c r="H61" s="180" t="str">
        <f t="shared" si="0"/>
        <v>-</v>
      </c>
      <c r="L61" s="108"/>
    </row>
    <row r="62" spans="1:12" s="61" customFormat="1" ht="26.25" customHeight="1" x14ac:dyDescent="0.4">
      <c r="A62" s="120" t="s">
        <v>96</v>
      </c>
      <c r="B62" s="121">
        <v>1</v>
      </c>
      <c r="C62" s="620"/>
      <c r="D62" s="623"/>
      <c r="E62" s="178">
        <v>3</v>
      </c>
      <c r="F62" s="181"/>
      <c r="G62" s="179" t="str">
        <f>IF(ISBLANK(F62),"-",(F62/$D$50*$D$47*$B$68)*($B$57/$D$60))</f>
        <v>-</v>
      </c>
      <c r="H62" s="180" t="str">
        <f t="shared" si="0"/>
        <v>-</v>
      </c>
      <c r="L62" s="108"/>
    </row>
    <row r="63" spans="1:12" ht="27" customHeight="1" thickBot="1" x14ac:dyDescent="0.45">
      <c r="A63" s="120" t="s">
        <v>97</v>
      </c>
      <c r="B63" s="121">
        <v>1</v>
      </c>
      <c r="C63" s="621"/>
      <c r="D63" s="624"/>
      <c r="E63" s="182">
        <v>4</v>
      </c>
      <c r="F63" s="183"/>
      <c r="G63" s="179" t="str">
        <f>IF(ISBLANK(F63),"-",(F63/$D$50*$D$47*$B$68)*($B$57/$D$60))</f>
        <v>-</v>
      </c>
      <c r="H63" s="180" t="str">
        <f t="shared" si="0"/>
        <v>-</v>
      </c>
    </row>
    <row r="64" spans="1:12" ht="26.25" customHeight="1" x14ac:dyDescent="0.4">
      <c r="A64" s="120" t="s">
        <v>98</v>
      </c>
      <c r="B64" s="121">
        <v>1</v>
      </c>
      <c r="C64" s="619" t="s">
        <v>99</v>
      </c>
      <c r="D64" s="622">
        <v>80.37</v>
      </c>
      <c r="E64" s="174">
        <v>1</v>
      </c>
      <c r="F64" s="175">
        <v>6429981</v>
      </c>
      <c r="G64" s="184">
        <f>IF(ISBLANK(F64),"-",(F64/$D$50*$D$47*$B$68)*($B$57/$D$64))</f>
        <v>30.536880060568397</v>
      </c>
      <c r="H64" s="185">
        <f t="shared" si="0"/>
        <v>1.0178960020189465</v>
      </c>
    </row>
    <row r="65" spans="1:8" ht="26.25" customHeight="1" x14ac:dyDescent="0.4">
      <c r="A65" s="120" t="s">
        <v>100</v>
      </c>
      <c r="B65" s="121">
        <v>1</v>
      </c>
      <c r="C65" s="620"/>
      <c r="D65" s="623"/>
      <c r="E65" s="178">
        <v>2</v>
      </c>
      <c r="F65" s="133">
        <v>6424924</v>
      </c>
      <c r="G65" s="186">
        <f>IF(ISBLANK(F65),"-",(F65/$D$50*$D$47*$B$68)*($B$57/$D$64))</f>
        <v>30.512863659514288</v>
      </c>
      <c r="H65" s="187">
        <f t="shared" si="0"/>
        <v>1.017095455317143</v>
      </c>
    </row>
    <row r="66" spans="1:8" ht="26.25" customHeight="1" x14ac:dyDescent="0.4">
      <c r="A66" s="120" t="s">
        <v>101</v>
      </c>
      <c r="B66" s="121">
        <v>1</v>
      </c>
      <c r="C66" s="620"/>
      <c r="D66" s="623"/>
      <c r="E66" s="178">
        <v>3</v>
      </c>
      <c r="F66" s="133">
        <v>6421006</v>
      </c>
      <c r="G66" s="186">
        <f>IF(ISBLANK(F66),"-",(F66/$D$50*$D$47*$B$68)*($B$57/$D$64))</f>
        <v>30.494256528936873</v>
      </c>
      <c r="H66" s="187">
        <f t="shared" si="0"/>
        <v>1.0164752176312291</v>
      </c>
    </row>
    <row r="67" spans="1:8" ht="27" customHeight="1" thickBot="1" x14ac:dyDescent="0.45">
      <c r="A67" s="120" t="s">
        <v>102</v>
      </c>
      <c r="B67" s="121">
        <v>1</v>
      </c>
      <c r="C67" s="621"/>
      <c r="D67" s="624"/>
      <c r="E67" s="182">
        <v>4</v>
      </c>
      <c r="F67" s="183"/>
      <c r="G67" s="188" t="str">
        <f>IF(ISBLANK(F67),"-",(F67/$D$50*$D$47*$B$68)*($B$57/$D$64))</f>
        <v>-</v>
      </c>
      <c r="H67" s="189" t="str">
        <f t="shared" si="0"/>
        <v>-</v>
      </c>
    </row>
    <row r="68" spans="1:8" ht="26.25" customHeight="1" x14ac:dyDescent="0.4">
      <c r="A68" s="120" t="s">
        <v>103</v>
      </c>
      <c r="B68" s="190">
        <f>(B67/B66)*(B65/B64)*(B63/B62)*(B61/B60)*B59</f>
        <v>100</v>
      </c>
      <c r="C68" s="619" t="s">
        <v>104</v>
      </c>
      <c r="D68" s="622">
        <v>79.89</v>
      </c>
      <c r="E68" s="174">
        <v>1</v>
      </c>
      <c r="F68" s="175">
        <v>6223339</v>
      </c>
      <c r="G68" s="184">
        <f>IF(ISBLANK(F68),"-",(F68/$D$50*$D$47*$B$68)*($B$57/$D$68))</f>
        <v>29.733085487953268</v>
      </c>
      <c r="H68" s="180">
        <f t="shared" si="0"/>
        <v>0.9911028495984423</v>
      </c>
    </row>
    <row r="69" spans="1:8" ht="27" customHeight="1" thickBot="1" x14ac:dyDescent="0.45">
      <c r="A69" s="165" t="s">
        <v>105</v>
      </c>
      <c r="B69" s="191">
        <f>(D47*B68)/B56*B57</f>
        <v>80.431866666666664</v>
      </c>
      <c r="C69" s="620"/>
      <c r="D69" s="623"/>
      <c r="E69" s="178">
        <v>2</v>
      </c>
      <c r="F69" s="133">
        <v>6220259</v>
      </c>
      <c r="G69" s="186">
        <f>IF(ISBLANK(F69),"-",(F69/$D$50*$D$47*$B$68)*($B$57/$D$68))</f>
        <v>29.718370251758856</v>
      </c>
      <c r="H69" s="180">
        <f t="shared" si="0"/>
        <v>0.99061234172529522</v>
      </c>
    </row>
    <row r="70" spans="1:8" ht="26.25" customHeight="1" x14ac:dyDescent="0.4">
      <c r="A70" s="627" t="s">
        <v>78</v>
      </c>
      <c r="B70" s="628"/>
      <c r="C70" s="620"/>
      <c r="D70" s="623"/>
      <c r="E70" s="178">
        <v>3</v>
      </c>
      <c r="F70" s="133">
        <v>6214734</v>
      </c>
      <c r="G70" s="186">
        <f>IF(ISBLANK(F70),"-",(F70/$D$50*$D$47*$B$68)*($B$57/$D$68))</f>
        <v>29.69197360241661</v>
      </c>
      <c r="H70" s="180">
        <f t="shared" si="0"/>
        <v>0.98973245341388705</v>
      </c>
    </row>
    <row r="71" spans="1:8" ht="27" customHeight="1" thickBot="1" x14ac:dyDescent="0.45">
      <c r="A71" s="629"/>
      <c r="B71" s="630"/>
      <c r="C71" s="625"/>
      <c r="D71" s="624"/>
      <c r="E71" s="182">
        <v>4</v>
      </c>
      <c r="F71" s="183"/>
      <c r="G71" s="188" t="str">
        <f>IF(ISBLANK(F71),"-",(F71/$D$50*$D$47*$B$68)*($B$57/$D$68))</f>
        <v>-</v>
      </c>
      <c r="H71" s="192" t="str">
        <f t="shared" si="0"/>
        <v>-</v>
      </c>
    </row>
    <row r="72" spans="1:8" ht="26.25" customHeight="1" x14ac:dyDescent="0.4">
      <c r="A72" s="149"/>
      <c r="B72" s="149"/>
      <c r="C72" s="149"/>
      <c r="D72" s="149"/>
      <c r="E72" s="149"/>
      <c r="F72" s="193" t="s">
        <v>71</v>
      </c>
      <c r="G72" s="194">
        <f>AVERAGE(G60:G71)</f>
        <v>30.114571598524719</v>
      </c>
      <c r="H72" s="195">
        <f>AVERAGE(H60:H71)</f>
        <v>1.0038190532841571</v>
      </c>
    </row>
    <row r="73" spans="1:8" ht="26.25" customHeight="1" x14ac:dyDescent="0.4">
      <c r="C73" s="149"/>
      <c r="D73" s="149"/>
      <c r="E73" s="149"/>
      <c r="F73" s="196" t="s">
        <v>84</v>
      </c>
      <c r="G73" s="197">
        <f>STDEV(G60:G71)/G72</f>
        <v>1.4567315697126226E-2</v>
      </c>
      <c r="H73" s="197">
        <f>STDEV(H60:H71)/H72</f>
        <v>1.4567315697126191E-2</v>
      </c>
    </row>
    <row r="74" spans="1:8" ht="27" customHeight="1" thickBot="1" x14ac:dyDescent="0.45">
      <c r="A74" s="149"/>
      <c r="B74" s="149"/>
      <c r="C74" s="149"/>
      <c r="D74" s="149"/>
      <c r="E74" s="151"/>
      <c r="F74" s="198" t="s">
        <v>20</v>
      </c>
      <c r="G74" s="199">
        <f>COUNT(G60:G71)</f>
        <v>6</v>
      </c>
      <c r="H74" s="199">
        <f>COUNT(H60:H71)</f>
        <v>6</v>
      </c>
    </row>
    <row r="76" spans="1:8" ht="26.25" customHeight="1" x14ac:dyDescent="0.4">
      <c r="A76" s="104" t="s">
        <v>106</v>
      </c>
      <c r="B76" s="105" t="s">
        <v>107</v>
      </c>
      <c r="C76" s="631" t="str">
        <f>B20</f>
        <v xml:space="preserve">Rifampicin, Isoniazid, Pyrazinamide 
</v>
      </c>
      <c r="D76" s="631"/>
      <c r="E76" s="94" t="s">
        <v>108</v>
      </c>
      <c r="F76" s="94"/>
      <c r="G76" s="200">
        <f>H72</f>
        <v>1.0038190532841571</v>
      </c>
      <c r="H76" s="109"/>
    </row>
    <row r="77" spans="1:8" ht="18.75" x14ac:dyDescent="0.3">
      <c r="A77" s="103" t="s">
        <v>109</v>
      </c>
      <c r="B77" s="103" t="s">
        <v>110</v>
      </c>
    </row>
    <row r="78" spans="1:8" ht="18.75" x14ac:dyDescent="0.3">
      <c r="A78" s="103"/>
      <c r="B78" s="103"/>
    </row>
    <row r="79" spans="1:8" ht="26.25" customHeight="1" x14ac:dyDescent="0.4">
      <c r="A79" s="104" t="s">
        <v>4</v>
      </c>
      <c r="B79" s="626" t="str">
        <f>B26</f>
        <v>Isoniazid</v>
      </c>
      <c r="C79" s="626"/>
    </row>
    <row r="80" spans="1:8" ht="26.25" customHeight="1" x14ac:dyDescent="0.4">
      <c r="A80" s="105" t="s">
        <v>48</v>
      </c>
      <c r="B80" s="626" t="str">
        <f>B27</f>
        <v>I8-2</v>
      </c>
      <c r="C80" s="626"/>
    </row>
    <row r="81" spans="1:12" ht="27" customHeight="1" thickBot="1" x14ac:dyDescent="0.45">
      <c r="A81" s="105" t="s">
        <v>6</v>
      </c>
      <c r="B81" s="106">
        <f>B28</f>
        <v>98.5</v>
      </c>
    </row>
    <row r="82" spans="1:12" s="61" customFormat="1" ht="27" customHeight="1" thickBot="1" x14ac:dyDescent="0.45">
      <c r="A82" s="105" t="s">
        <v>49</v>
      </c>
      <c r="B82" s="107">
        <v>0</v>
      </c>
      <c r="C82" s="608" t="s">
        <v>50</v>
      </c>
      <c r="D82" s="609"/>
      <c r="E82" s="609"/>
      <c r="F82" s="609"/>
      <c r="G82" s="610"/>
      <c r="I82" s="108"/>
      <c r="J82" s="108"/>
      <c r="K82" s="108"/>
      <c r="L82" s="108"/>
    </row>
    <row r="83" spans="1:12" s="61" customFormat="1" ht="19.5" customHeight="1" thickBot="1" x14ac:dyDescent="0.35">
      <c r="A83" s="105" t="s">
        <v>51</v>
      </c>
      <c r="B83" s="109">
        <f>B81-B82</f>
        <v>98.5</v>
      </c>
      <c r="C83" s="110"/>
      <c r="D83" s="110"/>
      <c r="E83" s="110"/>
      <c r="F83" s="110"/>
      <c r="G83" s="111"/>
      <c r="I83" s="108"/>
      <c r="J83" s="108"/>
      <c r="K83" s="108"/>
      <c r="L83" s="108"/>
    </row>
    <row r="84" spans="1:12" s="61" customFormat="1" ht="27" customHeight="1" thickBot="1" x14ac:dyDescent="0.45">
      <c r="A84" s="105" t="s">
        <v>52</v>
      </c>
      <c r="B84" s="112">
        <v>1</v>
      </c>
      <c r="C84" s="596" t="s">
        <v>111</v>
      </c>
      <c r="D84" s="597"/>
      <c r="E84" s="597"/>
      <c r="F84" s="597"/>
      <c r="G84" s="597"/>
      <c r="H84" s="598"/>
      <c r="I84" s="108"/>
      <c r="J84" s="108"/>
      <c r="K84" s="108"/>
      <c r="L84" s="108"/>
    </row>
    <row r="85" spans="1:12" s="61" customFormat="1" ht="27" customHeight="1" thickBot="1" x14ac:dyDescent="0.45">
      <c r="A85" s="105" t="s">
        <v>54</v>
      </c>
      <c r="B85" s="112">
        <v>1</v>
      </c>
      <c r="C85" s="596" t="s">
        <v>112</v>
      </c>
      <c r="D85" s="597"/>
      <c r="E85" s="597"/>
      <c r="F85" s="597"/>
      <c r="G85" s="597"/>
      <c r="H85" s="598"/>
      <c r="I85" s="108"/>
      <c r="J85" s="108"/>
      <c r="K85" s="108"/>
      <c r="L85" s="108"/>
    </row>
    <row r="86" spans="1:12" s="61" customFormat="1" ht="18.75" x14ac:dyDescent="0.3">
      <c r="A86" s="105"/>
      <c r="B86" s="115"/>
      <c r="C86" s="116"/>
      <c r="D86" s="116"/>
      <c r="E86" s="116"/>
      <c r="F86" s="116"/>
      <c r="G86" s="116"/>
      <c r="H86" s="116"/>
      <c r="I86" s="108"/>
      <c r="J86" s="108"/>
      <c r="K86" s="108"/>
      <c r="L86" s="108"/>
    </row>
    <row r="87" spans="1:12" s="61" customFormat="1" ht="18.75" x14ac:dyDescent="0.3">
      <c r="A87" s="105" t="s">
        <v>56</v>
      </c>
      <c r="B87" s="117">
        <f>B84/B85</f>
        <v>1</v>
      </c>
      <c r="C87" s="94" t="s">
        <v>57</v>
      </c>
      <c r="D87" s="94"/>
      <c r="E87" s="94"/>
      <c r="F87" s="94"/>
      <c r="G87" s="94"/>
      <c r="I87" s="108"/>
      <c r="J87" s="108"/>
      <c r="K87" s="108"/>
      <c r="L87" s="108"/>
    </row>
    <row r="88" spans="1:12" ht="19.5" customHeight="1" thickBot="1" x14ac:dyDescent="0.35">
      <c r="A88" s="103"/>
      <c r="B88" s="103"/>
    </row>
    <row r="89" spans="1:12" ht="27" customHeight="1" thickBot="1" x14ac:dyDescent="0.45">
      <c r="A89" s="118" t="s">
        <v>58</v>
      </c>
      <c r="B89" s="119">
        <v>100</v>
      </c>
      <c r="D89" s="201" t="s">
        <v>59</v>
      </c>
      <c r="E89" s="202"/>
      <c r="F89" s="611" t="s">
        <v>60</v>
      </c>
      <c r="G89" s="613"/>
    </row>
    <row r="90" spans="1:12" ht="27" customHeight="1" thickBot="1" x14ac:dyDescent="0.45">
      <c r="A90" s="120" t="s">
        <v>61</v>
      </c>
      <c r="B90" s="121">
        <v>10</v>
      </c>
      <c r="C90" s="203" t="s">
        <v>62</v>
      </c>
      <c r="D90" s="123" t="s">
        <v>63</v>
      </c>
      <c r="E90" s="124" t="s">
        <v>64</v>
      </c>
      <c r="F90" s="123" t="s">
        <v>63</v>
      </c>
      <c r="G90" s="204" t="s">
        <v>64</v>
      </c>
      <c r="I90" s="126" t="s">
        <v>65</v>
      </c>
    </row>
    <row r="91" spans="1:12" ht="26.25" customHeight="1" x14ac:dyDescent="0.4">
      <c r="A91" s="120" t="s">
        <v>66</v>
      </c>
      <c r="B91" s="121">
        <v>25</v>
      </c>
      <c r="C91" s="205">
        <v>1</v>
      </c>
      <c r="D91" s="128">
        <v>3070338</v>
      </c>
      <c r="E91" s="129">
        <f>IF(ISBLANK(D91),"-",$D$101/$D$98*D91)</f>
        <v>2634461.1361085656</v>
      </c>
      <c r="F91" s="128">
        <v>2521134</v>
      </c>
      <c r="G91" s="130">
        <f>IF(ISBLANK(F91),"-",$D$101/$F$98*F91)</f>
        <v>2626772.2737615965</v>
      </c>
      <c r="I91" s="131"/>
    </row>
    <row r="92" spans="1:12" ht="26.25" customHeight="1" x14ac:dyDescent="0.4">
      <c r="A92" s="120" t="s">
        <v>67</v>
      </c>
      <c r="B92" s="121">
        <v>1</v>
      </c>
      <c r="C92" s="149">
        <v>2</v>
      </c>
      <c r="D92" s="133">
        <v>3086043</v>
      </c>
      <c r="E92" s="134">
        <f>IF(ISBLANK(D92),"-",$D$101/$D$98*D92)</f>
        <v>2647936.5945573049</v>
      </c>
      <c r="F92" s="133">
        <v>2521678</v>
      </c>
      <c r="G92" s="135">
        <f>IF(ISBLANK(F92),"-",$D$101/$F$98*F92)</f>
        <v>2627339.067956957</v>
      </c>
      <c r="I92" s="614">
        <f>ABS((F96/D96*D95)-F95)/D95</f>
        <v>2.8616081943513426E-3</v>
      </c>
    </row>
    <row r="93" spans="1:12" ht="26.25" customHeight="1" x14ac:dyDescent="0.4">
      <c r="A93" s="120" t="s">
        <v>68</v>
      </c>
      <c r="B93" s="121">
        <v>1</v>
      </c>
      <c r="C93" s="149">
        <v>3</v>
      </c>
      <c r="D93" s="133">
        <v>3070434</v>
      </c>
      <c r="E93" s="134">
        <f>IF(ISBLANK(D93),"-",$D$101/$D$98*D93)</f>
        <v>2634543.5075833243</v>
      </c>
      <c r="F93" s="133">
        <v>2529338</v>
      </c>
      <c r="G93" s="135">
        <f>IF(ISBLANK(F93),"-",$D$101/$F$98*F93)</f>
        <v>2635320.0303401602</v>
      </c>
      <c r="I93" s="614"/>
    </row>
    <row r="94" spans="1:12" ht="27" customHeight="1" thickBot="1" x14ac:dyDescent="0.45">
      <c r="A94" s="120" t="s">
        <v>69</v>
      </c>
      <c r="B94" s="121">
        <v>1</v>
      </c>
      <c r="C94" s="206">
        <v>4</v>
      </c>
      <c r="D94" s="137"/>
      <c r="E94" s="138" t="str">
        <f>IF(ISBLANK(D94),"-",$D$101/$D$98*D94)</f>
        <v>-</v>
      </c>
      <c r="F94" s="207"/>
      <c r="G94" s="139" t="str">
        <f>IF(ISBLANK(F94),"-",$D$101/$F$98*F94)</f>
        <v>-</v>
      </c>
      <c r="I94" s="140"/>
    </row>
    <row r="95" spans="1:12" ht="27" customHeight="1" thickBot="1" x14ac:dyDescent="0.45">
      <c r="A95" s="120" t="s">
        <v>70</v>
      </c>
      <c r="B95" s="121">
        <v>1</v>
      </c>
      <c r="C95" s="105" t="s">
        <v>71</v>
      </c>
      <c r="D95" s="208">
        <f>AVERAGE(D91:D94)</f>
        <v>3075605</v>
      </c>
      <c r="E95" s="143">
        <f>AVERAGE(E91:E94)</f>
        <v>2638980.4127497314</v>
      </c>
      <c r="F95" s="209">
        <f>AVERAGE(F91:F94)</f>
        <v>2524050</v>
      </c>
      <c r="G95" s="210">
        <f>AVERAGE(G91:G94)</f>
        <v>2629810.4573529046</v>
      </c>
    </row>
    <row r="96" spans="1:12" ht="26.25" customHeight="1" x14ac:dyDescent="0.4">
      <c r="A96" s="120" t="s">
        <v>72</v>
      </c>
      <c r="B96" s="106">
        <v>1</v>
      </c>
      <c r="C96" s="211" t="s">
        <v>113</v>
      </c>
      <c r="D96" s="212">
        <v>9.86</v>
      </c>
      <c r="E96" s="94"/>
      <c r="F96" s="146">
        <v>8.1199999999999992</v>
      </c>
    </row>
    <row r="97" spans="1:10" ht="26.25" customHeight="1" x14ac:dyDescent="0.4">
      <c r="A97" s="120" t="s">
        <v>74</v>
      </c>
      <c r="B97" s="106">
        <v>1</v>
      </c>
      <c r="C97" s="213" t="s">
        <v>114</v>
      </c>
      <c r="D97" s="214">
        <f>D96*$B$87</f>
        <v>9.86</v>
      </c>
      <c r="E97" s="149"/>
      <c r="F97" s="148">
        <f>F96*$B$87</f>
        <v>8.1199999999999992</v>
      </c>
    </row>
    <row r="98" spans="1:10" ht="19.5" customHeight="1" thickBot="1" x14ac:dyDescent="0.35">
      <c r="A98" s="120" t="s">
        <v>76</v>
      </c>
      <c r="B98" s="149">
        <f>(B97/B96)*(B95/B94)*(B93/B92)*(B91/B90)*B89</f>
        <v>250</v>
      </c>
      <c r="C98" s="213" t="s">
        <v>115</v>
      </c>
      <c r="D98" s="215">
        <f>D97*$B$83/100</f>
        <v>9.7120999999999995</v>
      </c>
      <c r="E98" s="151"/>
      <c r="F98" s="150">
        <f>F97*$B$83/100</f>
        <v>7.9981999999999998</v>
      </c>
    </row>
    <row r="99" spans="1:10" ht="19.5" customHeight="1" thickBot="1" x14ac:dyDescent="0.35">
      <c r="A99" s="615" t="s">
        <v>78</v>
      </c>
      <c r="B99" s="632"/>
      <c r="C99" s="213" t="s">
        <v>116</v>
      </c>
      <c r="D99" s="216">
        <f>D98/$B$98</f>
        <v>3.8848399999999998E-2</v>
      </c>
      <c r="E99" s="151"/>
      <c r="F99" s="154">
        <f>F98/$B$98</f>
        <v>3.1992800000000002E-2</v>
      </c>
      <c r="H99" s="85"/>
    </row>
    <row r="100" spans="1:10" ht="19.5" customHeight="1" thickBot="1" x14ac:dyDescent="0.35">
      <c r="A100" s="617"/>
      <c r="B100" s="633"/>
      <c r="C100" s="213" t="s">
        <v>80</v>
      </c>
      <c r="D100" s="217">
        <f>$B$56/$B$116</f>
        <v>3.3333333333333333E-2</v>
      </c>
      <c r="F100" s="159"/>
      <c r="G100" s="218"/>
      <c r="H100" s="85"/>
    </row>
    <row r="101" spans="1:10" ht="18.75" x14ac:dyDescent="0.3">
      <c r="C101" s="213" t="s">
        <v>81</v>
      </c>
      <c r="D101" s="214">
        <f>D100*$B$98</f>
        <v>8.3333333333333339</v>
      </c>
      <c r="F101" s="159"/>
      <c r="H101" s="85"/>
    </row>
    <row r="102" spans="1:10" ht="19.5" customHeight="1" thickBot="1" x14ac:dyDescent="0.35">
      <c r="C102" s="219" t="s">
        <v>82</v>
      </c>
      <c r="D102" s="220">
        <f>D101/B34</f>
        <v>8.3333333333333339</v>
      </c>
      <c r="F102" s="163"/>
      <c r="H102" s="85"/>
      <c r="J102" s="221"/>
    </row>
    <row r="103" spans="1:10" ht="18.75" x14ac:dyDescent="0.3">
      <c r="C103" s="222" t="s">
        <v>117</v>
      </c>
      <c r="D103" s="223">
        <f>AVERAGE(E91:E94,G91:G94)</f>
        <v>2634395.4350513183</v>
      </c>
      <c r="F103" s="163"/>
      <c r="G103" s="218"/>
      <c r="H103" s="85"/>
      <c r="J103" s="224"/>
    </row>
    <row r="104" spans="1:10" ht="18.75" x14ac:dyDescent="0.3">
      <c r="C104" s="196" t="s">
        <v>84</v>
      </c>
      <c r="D104" s="225">
        <f>STDEV(E91:E94,G91:G94)/D103</f>
        <v>2.9015913809756553E-3</v>
      </c>
      <c r="F104" s="163"/>
      <c r="H104" s="85"/>
      <c r="J104" s="224"/>
    </row>
    <row r="105" spans="1:10" ht="19.5" customHeight="1" thickBot="1" x14ac:dyDescent="0.35">
      <c r="C105" s="198" t="s">
        <v>20</v>
      </c>
      <c r="D105" s="226">
        <f>COUNT(E91:E94,G91:G94)</f>
        <v>6</v>
      </c>
      <c r="F105" s="163"/>
      <c r="H105" s="85"/>
      <c r="J105" s="224"/>
    </row>
    <row r="106" spans="1:10" ht="19.5" customHeight="1" thickBot="1" x14ac:dyDescent="0.35">
      <c r="A106" s="167"/>
      <c r="B106" s="167"/>
      <c r="C106" s="167"/>
      <c r="D106" s="167"/>
      <c r="E106" s="167"/>
    </row>
    <row r="107" spans="1:10" ht="26.25" customHeight="1" x14ac:dyDescent="0.4">
      <c r="A107" s="118" t="s">
        <v>118</v>
      </c>
      <c r="B107" s="119">
        <v>900</v>
      </c>
      <c r="C107" s="201" t="s">
        <v>119</v>
      </c>
      <c r="D107" s="227" t="s">
        <v>63</v>
      </c>
      <c r="E107" s="228" t="s">
        <v>120</v>
      </c>
      <c r="F107" s="229" t="s">
        <v>121</v>
      </c>
    </row>
    <row r="108" spans="1:10" ht="26.25" customHeight="1" x14ac:dyDescent="0.4">
      <c r="A108" s="120" t="s">
        <v>122</v>
      </c>
      <c r="B108" s="121">
        <v>1</v>
      </c>
      <c r="C108" s="230">
        <v>1</v>
      </c>
      <c r="D108" s="231">
        <v>2544951</v>
      </c>
      <c r="E108" s="232">
        <f t="shared" ref="E108:E113" si="1">IF(ISBLANK(D108),"-",D108/$D$103*$D$100*$B$116)</f>
        <v>28.981423587424612</v>
      </c>
      <c r="F108" s="233">
        <f t="shared" ref="F108:F113" si="2">IF(ISBLANK(D108), "-", E108/$B$56)</f>
        <v>0.96604745291415373</v>
      </c>
    </row>
    <row r="109" spans="1:10" ht="26.25" customHeight="1" x14ac:dyDescent="0.4">
      <c r="A109" s="120" t="s">
        <v>95</v>
      </c>
      <c r="B109" s="121">
        <v>1</v>
      </c>
      <c r="C109" s="230">
        <v>2</v>
      </c>
      <c r="D109" s="231">
        <v>2418855</v>
      </c>
      <c r="E109" s="234">
        <f t="shared" si="1"/>
        <v>27.545466042984703</v>
      </c>
      <c r="F109" s="235">
        <f t="shared" si="2"/>
        <v>0.91818220143282347</v>
      </c>
    </row>
    <row r="110" spans="1:10" ht="26.25" customHeight="1" x14ac:dyDescent="0.4">
      <c r="A110" s="120" t="s">
        <v>96</v>
      </c>
      <c r="B110" s="121">
        <v>1</v>
      </c>
      <c r="C110" s="230">
        <v>3</v>
      </c>
      <c r="D110" s="231">
        <v>2465340</v>
      </c>
      <c r="E110" s="234">
        <f t="shared" si="1"/>
        <v>28.074828484721863</v>
      </c>
      <c r="F110" s="235">
        <f t="shared" si="2"/>
        <v>0.9358276161573954</v>
      </c>
    </row>
    <row r="111" spans="1:10" ht="26.25" customHeight="1" x14ac:dyDescent="0.4">
      <c r="A111" s="120" t="s">
        <v>97</v>
      </c>
      <c r="B111" s="121">
        <v>1</v>
      </c>
      <c r="C111" s="230">
        <v>4</v>
      </c>
      <c r="D111" s="231">
        <v>2572634</v>
      </c>
      <c r="E111" s="234">
        <f t="shared" si="1"/>
        <v>29.296672387566801</v>
      </c>
      <c r="F111" s="235">
        <f t="shared" si="2"/>
        <v>0.97655574625222674</v>
      </c>
    </row>
    <row r="112" spans="1:10" ht="26.25" customHeight="1" x14ac:dyDescent="0.4">
      <c r="A112" s="120" t="s">
        <v>98</v>
      </c>
      <c r="B112" s="121">
        <v>1</v>
      </c>
      <c r="C112" s="230">
        <v>5</v>
      </c>
      <c r="D112" s="231">
        <v>2486277</v>
      </c>
      <c r="E112" s="234">
        <f t="shared" si="1"/>
        <v>28.313255104978953</v>
      </c>
      <c r="F112" s="235">
        <f t="shared" si="2"/>
        <v>0.94377517016596513</v>
      </c>
    </row>
    <row r="113" spans="1:10" ht="26.25" customHeight="1" x14ac:dyDescent="0.4">
      <c r="A113" s="120" t="s">
        <v>100</v>
      </c>
      <c r="B113" s="121">
        <v>1</v>
      </c>
      <c r="C113" s="236">
        <v>6</v>
      </c>
      <c r="D113" s="237">
        <v>2476689</v>
      </c>
      <c r="E113" s="238">
        <f t="shared" si="1"/>
        <v>28.204068763333783</v>
      </c>
      <c r="F113" s="239">
        <f t="shared" si="2"/>
        <v>0.94013562544445939</v>
      </c>
    </row>
    <row r="114" spans="1:10" ht="26.25" customHeight="1" x14ac:dyDescent="0.4">
      <c r="A114" s="120" t="s">
        <v>101</v>
      </c>
      <c r="B114" s="121">
        <v>1</v>
      </c>
      <c r="C114" s="230"/>
      <c r="D114" s="149"/>
      <c r="E114" s="94"/>
      <c r="F114" s="240"/>
    </row>
    <row r="115" spans="1:10" ht="26.25" customHeight="1" x14ac:dyDescent="0.4">
      <c r="A115" s="120" t="s">
        <v>102</v>
      </c>
      <c r="B115" s="121">
        <v>1</v>
      </c>
      <c r="C115" s="230"/>
      <c r="D115" s="241" t="s">
        <v>71</v>
      </c>
      <c r="E115" s="242">
        <f>AVERAGE(E108:E113)</f>
        <v>28.402619061835122</v>
      </c>
      <c r="F115" s="243">
        <f>AVERAGE(F108:F113)</f>
        <v>0.94675396872783735</v>
      </c>
    </row>
    <row r="116" spans="1:10" ht="27" customHeight="1" thickBot="1" x14ac:dyDescent="0.45">
      <c r="A116" s="120" t="s">
        <v>103</v>
      </c>
      <c r="B116" s="132">
        <f>(B115/B114)*(B113/B112)*(B111/B110)*(B109/B108)*B107</f>
        <v>900</v>
      </c>
      <c r="C116" s="244"/>
      <c r="D116" s="105" t="s">
        <v>84</v>
      </c>
      <c r="E116" s="245">
        <f>STDEV(E108:E113)/E115</f>
        <v>2.2400227803778389E-2</v>
      </c>
      <c r="F116" s="245">
        <f>STDEV(F108:F113)/F115</f>
        <v>2.24002278037784E-2</v>
      </c>
      <c r="I116" s="94"/>
    </row>
    <row r="117" spans="1:10" ht="27" customHeight="1" thickBot="1" x14ac:dyDescent="0.45">
      <c r="A117" s="615" t="s">
        <v>78</v>
      </c>
      <c r="B117" s="616"/>
      <c r="C117" s="246"/>
      <c r="D117" s="247" t="s">
        <v>20</v>
      </c>
      <c r="E117" s="248">
        <f>COUNT(E108:E113)</f>
        <v>6</v>
      </c>
      <c r="F117" s="248">
        <f>COUNT(F108:F113)</f>
        <v>6</v>
      </c>
      <c r="I117" s="94"/>
      <c r="J117" s="224"/>
    </row>
    <row r="118" spans="1:10" ht="19.5" customHeight="1" thickBot="1" x14ac:dyDescent="0.35">
      <c r="A118" s="617"/>
      <c r="B118" s="618"/>
      <c r="C118" s="94"/>
      <c r="D118" s="94"/>
      <c r="E118" s="94"/>
      <c r="F118" s="149"/>
      <c r="G118" s="94"/>
      <c r="H118" s="94"/>
      <c r="I118" s="94"/>
    </row>
    <row r="119" spans="1:10" ht="18.75" x14ac:dyDescent="0.3">
      <c r="A119" s="249"/>
      <c r="B119" s="116"/>
      <c r="C119" s="94"/>
      <c r="D119" s="94"/>
      <c r="E119" s="94"/>
      <c r="F119" s="149"/>
      <c r="G119" s="94"/>
      <c r="H119" s="94"/>
      <c r="I119" s="94"/>
    </row>
    <row r="120" spans="1:10" ht="26.25" customHeight="1" x14ac:dyDescent="0.4">
      <c r="A120" s="104" t="s">
        <v>106</v>
      </c>
      <c r="B120" s="105" t="s">
        <v>123</v>
      </c>
      <c r="C120" s="631" t="str">
        <f>B20</f>
        <v xml:space="preserve">Rifampicin, Isoniazid, Pyrazinamide 
</v>
      </c>
      <c r="D120" s="631"/>
      <c r="E120" s="94" t="s">
        <v>124</v>
      </c>
      <c r="F120" s="94"/>
      <c r="G120" s="200">
        <f>F115</f>
        <v>0.94675396872783735</v>
      </c>
      <c r="H120" s="94"/>
      <c r="I120" s="94"/>
    </row>
    <row r="121" spans="1:10" ht="19.5" customHeight="1" thickBot="1" x14ac:dyDescent="0.35">
      <c r="A121" s="250"/>
      <c r="B121" s="250"/>
      <c r="C121" s="251"/>
      <c r="D121" s="251"/>
      <c r="E121" s="251"/>
      <c r="F121" s="251"/>
      <c r="G121" s="251"/>
      <c r="H121" s="251"/>
    </row>
    <row r="122" spans="1:10" ht="18.75" x14ac:dyDescent="0.3">
      <c r="B122" s="634" t="s">
        <v>26</v>
      </c>
      <c r="C122" s="634"/>
      <c r="E122" s="203" t="s">
        <v>27</v>
      </c>
      <c r="F122" s="252"/>
      <c r="G122" s="634" t="s">
        <v>28</v>
      </c>
      <c r="H122" s="634"/>
    </row>
    <row r="123" spans="1:10" ht="69.95" customHeight="1" x14ac:dyDescent="0.3">
      <c r="A123" s="104" t="s">
        <v>29</v>
      </c>
      <c r="B123" s="253"/>
      <c r="C123" s="253"/>
      <c r="E123" s="253"/>
      <c r="F123" s="94"/>
      <c r="G123" s="253"/>
      <c r="H123" s="253"/>
    </row>
    <row r="124" spans="1:10" ht="69.95" customHeight="1" x14ac:dyDescent="0.3">
      <c r="A124" s="104" t="s">
        <v>30</v>
      </c>
      <c r="B124" s="254"/>
      <c r="C124" s="254"/>
      <c r="E124" s="254"/>
      <c r="F124" s="94"/>
      <c r="G124" s="255"/>
      <c r="H124" s="255"/>
    </row>
    <row r="125" spans="1:10" ht="18.75" x14ac:dyDescent="0.3">
      <c r="A125" s="149"/>
      <c r="B125" s="149"/>
      <c r="C125" s="149"/>
      <c r="D125" s="149"/>
      <c r="E125" s="149"/>
      <c r="F125" s="151"/>
      <c r="G125" s="149"/>
      <c r="H125" s="149"/>
      <c r="I125" s="94"/>
    </row>
    <row r="126" spans="1:10" ht="18.75" x14ac:dyDescent="0.3">
      <c r="A126" s="149"/>
      <c r="B126" s="149"/>
      <c r="C126" s="149"/>
      <c r="D126" s="149"/>
      <c r="E126" s="149"/>
      <c r="F126" s="151"/>
      <c r="G126" s="149"/>
      <c r="H126" s="149"/>
      <c r="I126" s="94"/>
    </row>
    <row r="127" spans="1:10" ht="18.75" x14ac:dyDescent="0.3">
      <c r="A127" s="149"/>
      <c r="B127" s="149"/>
      <c r="C127" s="149"/>
      <c r="D127" s="149"/>
      <c r="E127" s="149"/>
      <c r="F127" s="151"/>
      <c r="G127" s="149"/>
      <c r="H127" s="149"/>
      <c r="I127" s="94"/>
    </row>
    <row r="128" spans="1:10" ht="18.75" x14ac:dyDescent="0.3">
      <c r="A128" s="149"/>
      <c r="B128" s="149"/>
      <c r="C128" s="149"/>
      <c r="D128" s="149"/>
      <c r="E128" s="149"/>
      <c r="F128" s="151"/>
      <c r="G128" s="149"/>
      <c r="H128" s="149"/>
      <c r="I128" s="94"/>
    </row>
    <row r="129" spans="1:9" ht="18.75" x14ac:dyDescent="0.3">
      <c r="A129" s="149"/>
      <c r="B129" s="149"/>
      <c r="C129" s="149"/>
      <c r="D129" s="149"/>
      <c r="E129" s="149"/>
      <c r="F129" s="151"/>
      <c r="G129" s="149"/>
      <c r="H129" s="149"/>
      <c r="I129" s="94"/>
    </row>
    <row r="130" spans="1:9" ht="18.75" x14ac:dyDescent="0.3">
      <c r="A130" s="149"/>
      <c r="B130" s="149"/>
      <c r="C130" s="149"/>
      <c r="D130" s="149"/>
      <c r="E130" s="149"/>
      <c r="F130" s="151"/>
      <c r="G130" s="149"/>
      <c r="H130" s="149"/>
      <c r="I130" s="94"/>
    </row>
    <row r="131" spans="1:9" ht="18.75" x14ac:dyDescent="0.3">
      <c r="A131" s="149"/>
      <c r="B131" s="149"/>
      <c r="C131" s="149"/>
      <c r="D131" s="149"/>
      <c r="E131" s="149"/>
      <c r="F131" s="151"/>
      <c r="G131" s="149"/>
      <c r="H131" s="149"/>
      <c r="I131" s="94"/>
    </row>
    <row r="132" spans="1:9" ht="18.75" x14ac:dyDescent="0.3">
      <c r="A132" s="149"/>
      <c r="B132" s="149"/>
      <c r="C132" s="149"/>
      <c r="D132" s="149"/>
      <c r="E132" s="149"/>
      <c r="F132" s="151"/>
      <c r="G132" s="149"/>
      <c r="H132" s="149"/>
      <c r="I132" s="94"/>
    </row>
    <row r="133" spans="1:9" ht="18.75" x14ac:dyDescent="0.3">
      <c r="A133" s="149"/>
      <c r="B133" s="149"/>
      <c r="C133" s="149"/>
      <c r="D133" s="149"/>
      <c r="E133" s="149"/>
      <c r="F133" s="151"/>
      <c r="G133" s="149"/>
      <c r="H133" s="149"/>
      <c r="I133" s="94"/>
    </row>
    <row r="250" spans="1:1" x14ac:dyDescent="0.25">
      <c r="A250" s="49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9" zoomScale="60" zoomScaleNormal="40" zoomScalePageLayoutView="55" workbookViewId="0">
      <selection activeCell="E54" sqref="E54"/>
    </sheetView>
  </sheetViews>
  <sheetFormatPr defaultColWidth="9.140625" defaultRowHeight="13.5" x14ac:dyDescent="0.25"/>
  <cols>
    <col min="1" max="1" width="55.42578125" style="256" customWidth="1"/>
    <col min="2" max="2" width="33.7109375" style="256" customWidth="1"/>
    <col min="3" max="3" width="42.28515625" style="256" customWidth="1"/>
    <col min="4" max="4" width="30.5703125" style="256" customWidth="1"/>
    <col min="5" max="5" width="39.85546875" style="256" customWidth="1"/>
    <col min="6" max="6" width="30.7109375" style="256" customWidth="1"/>
    <col min="7" max="7" width="39.85546875" style="256" customWidth="1"/>
    <col min="8" max="8" width="30" style="256" customWidth="1"/>
    <col min="9" max="9" width="30.28515625" style="256" hidden="1" customWidth="1"/>
    <col min="10" max="10" width="30.42578125" style="256" customWidth="1"/>
    <col min="11" max="11" width="21.28515625" style="256" customWidth="1"/>
    <col min="12" max="12" width="9.140625" style="256"/>
    <col min="13" max="16384" width="9.140625" style="258"/>
  </cols>
  <sheetData>
    <row r="1" spans="1:9" ht="18.75" customHeight="1" x14ac:dyDescent="0.25">
      <c r="A1" s="638" t="s">
        <v>45</v>
      </c>
      <c r="B1" s="638"/>
      <c r="C1" s="638"/>
      <c r="D1" s="638"/>
      <c r="E1" s="638"/>
      <c r="F1" s="638"/>
      <c r="G1" s="638"/>
      <c r="H1" s="638"/>
      <c r="I1" s="638"/>
    </row>
    <row r="2" spans="1:9" ht="18.75" customHeight="1" x14ac:dyDescent="0.25">
      <c r="A2" s="638"/>
      <c r="B2" s="638"/>
      <c r="C2" s="638"/>
      <c r="D2" s="638"/>
      <c r="E2" s="638"/>
      <c r="F2" s="638"/>
      <c r="G2" s="638"/>
      <c r="H2" s="638"/>
      <c r="I2" s="638"/>
    </row>
    <row r="3" spans="1:9" ht="18.75" customHeight="1" x14ac:dyDescent="0.25">
      <c r="A3" s="638"/>
      <c r="B3" s="638"/>
      <c r="C3" s="638"/>
      <c r="D3" s="638"/>
      <c r="E3" s="638"/>
      <c r="F3" s="638"/>
      <c r="G3" s="638"/>
      <c r="H3" s="638"/>
      <c r="I3" s="638"/>
    </row>
    <row r="4" spans="1:9" ht="18.75" customHeight="1" x14ac:dyDescent="0.25">
      <c r="A4" s="638"/>
      <c r="B4" s="638"/>
      <c r="C4" s="638"/>
      <c r="D4" s="638"/>
      <c r="E4" s="638"/>
      <c r="F4" s="638"/>
      <c r="G4" s="638"/>
      <c r="H4" s="638"/>
      <c r="I4" s="638"/>
    </row>
    <row r="5" spans="1:9" ht="18.75" customHeight="1" x14ac:dyDescent="0.25">
      <c r="A5" s="638"/>
      <c r="B5" s="638"/>
      <c r="C5" s="638"/>
      <c r="D5" s="638"/>
      <c r="E5" s="638"/>
      <c r="F5" s="638"/>
      <c r="G5" s="638"/>
      <c r="H5" s="638"/>
      <c r="I5" s="638"/>
    </row>
    <row r="6" spans="1:9" ht="18.75" customHeight="1" x14ac:dyDescent="0.25">
      <c r="A6" s="638"/>
      <c r="B6" s="638"/>
      <c r="C6" s="638"/>
      <c r="D6" s="638"/>
      <c r="E6" s="638"/>
      <c r="F6" s="638"/>
      <c r="G6" s="638"/>
      <c r="H6" s="638"/>
      <c r="I6" s="638"/>
    </row>
    <row r="7" spans="1:9" ht="18.75" customHeight="1" x14ac:dyDescent="0.25">
      <c r="A7" s="638"/>
      <c r="B7" s="638"/>
      <c r="C7" s="638"/>
      <c r="D7" s="638"/>
      <c r="E7" s="638"/>
      <c r="F7" s="638"/>
      <c r="G7" s="638"/>
      <c r="H7" s="638"/>
      <c r="I7" s="638"/>
    </row>
    <row r="8" spans="1:9" x14ac:dyDescent="0.25">
      <c r="A8" s="639" t="s">
        <v>46</v>
      </c>
      <c r="B8" s="639"/>
      <c r="C8" s="639"/>
      <c r="D8" s="639"/>
      <c r="E8" s="639"/>
      <c r="F8" s="639"/>
      <c r="G8" s="639"/>
      <c r="H8" s="639"/>
      <c r="I8" s="639"/>
    </row>
    <row r="9" spans="1:9" x14ac:dyDescent="0.25">
      <c r="A9" s="639"/>
      <c r="B9" s="639"/>
      <c r="C9" s="639"/>
      <c r="D9" s="639"/>
      <c r="E9" s="639"/>
      <c r="F9" s="639"/>
      <c r="G9" s="639"/>
      <c r="H9" s="639"/>
      <c r="I9" s="639"/>
    </row>
    <row r="10" spans="1:9" x14ac:dyDescent="0.25">
      <c r="A10" s="639"/>
      <c r="B10" s="639"/>
      <c r="C10" s="639"/>
      <c r="D10" s="639"/>
      <c r="E10" s="639"/>
      <c r="F10" s="639"/>
      <c r="G10" s="639"/>
      <c r="H10" s="639"/>
      <c r="I10" s="639"/>
    </row>
    <row r="11" spans="1:9" x14ac:dyDescent="0.25">
      <c r="A11" s="639"/>
      <c r="B11" s="639"/>
      <c r="C11" s="639"/>
      <c r="D11" s="639"/>
      <c r="E11" s="639"/>
      <c r="F11" s="639"/>
      <c r="G11" s="639"/>
      <c r="H11" s="639"/>
      <c r="I11" s="639"/>
    </row>
    <row r="12" spans="1:9" x14ac:dyDescent="0.25">
      <c r="A12" s="639"/>
      <c r="B12" s="639"/>
      <c r="C12" s="639"/>
      <c r="D12" s="639"/>
      <c r="E12" s="639"/>
      <c r="F12" s="639"/>
      <c r="G12" s="639"/>
      <c r="H12" s="639"/>
      <c r="I12" s="639"/>
    </row>
    <row r="13" spans="1:9" x14ac:dyDescent="0.25">
      <c r="A13" s="639"/>
      <c r="B13" s="639"/>
      <c r="C13" s="639"/>
      <c r="D13" s="639"/>
      <c r="E13" s="639"/>
      <c r="F13" s="639"/>
      <c r="G13" s="639"/>
      <c r="H13" s="639"/>
      <c r="I13" s="639"/>
    </row>
    <row r="14" spans="1:9" x14ac:dyDescent="0.25">
      <c r="A14" s="639"/>
      <c r="B14" s="639"/>
      <c r="C14" s="639"/>
      <c r="D14" s="639"/>
      <c r="E14" s="639"/>
      <c r="F14" s="639"/>
      <c r="G14" s="639"/>
      <c r="H14" s="639"/>
      <c r="I14" s="639"/>
    </row>
    <row r="15" spans="1:9" ht="19.5" customHeight="1" thickBot="1" x14ac:dyDescent="0.35">
      <c r="A15" s="257"/>
    </row>
    <row r="16" spans="1:9" ht="19.5" customHeight="1" thickBot="1" x14ac:dyDescent="0.35">
      <c r="A16" s="640" t="s">
        <v>31</v>
      </c>
      <c r="B16" s="641"/>
      <c r="C16" s="641"/>
      <c r="D16" s="641"/>
      <c r="E16" s="641"/>
      <c r="F16" s="641"/>
      <c r="G16" s="641"/>
      <c r="H16" s="642"/>
    </row>
    <row r="17" spans="1:14" ht="20.25" customHeight="1" x14ac:dyDescent="0.25">
      <c r="A17" s="643" t="s">
        <v>47</v>
      </c>
      <c r="B17" s="643"/>
      <c r="C17" s="643"/>
      <c r="D17" s="643"/>
      <c r="E17" s="643"/>
      <c r="F17" s="643"/>
      <c r="G17" s="643"/>
      <c r="H17" s="643"/>
    </row>
    <row r="18" spans="1:14" ht="26.25" customHeight="1" x14ac:dyDescent="0.4">
      <c r="A18" s="259" t="s">
        <v>33</v>
      </c>
      <c r="B18" s="644" t="s">
        <v>5</v>
      </c>
      <c r="C18" s="644"/>
      <c r="D18" s="260"/>
      <c r="E18" s="261"/>
      <c r="F18" s="262"/>
      <c r="G18" s="262"/>
      <c r="H18" s="262"/>
    </row>
    <row r="19" spans="1:14" ht="26.25" customHeight="1" x14ac:dyDescent="0.4">
      <c r="A19" s="259" t="s">
        <v>34</v>
      </c>
      <c r="B19" s="263" t="s">
        <v>7</v>
      </c>
      <c r="C19" s="262">
        <v>29</v>
      </c>
      <c r="D19" s="262"/>
      <c r="E19" s="262"/>
      <c r="F19" s="262"/>
      <c r="G19" s="262"/>
      <c r="H19" s="262"/>
    </row>
    <row r="20" spans="1:14" ht="26.25" customHeight="1" x14ac:dyDescent="0.4">
      <c r="A20" s="259" t="s">
        <v>35</v>
      </c>
      <c r="B20" s="645" t="s">
        <v>125</v>
      </c>
      <c r="C20" s="645"/>
      <c r="D20" s="262"/>
      <c r="E20" s="262"/>
      <c r="F20" s="262"/>
      <c r="G20" s="262"/>
      <c r="H20" s="262"/>
    </row>
    <row r="21" spans="1:14" ht="26.25" customHeight="1" x14ac:dyDescent="0.4">
      <c r="A21" s="259" t="s">
        <v>36</v>
      </c>
      <c r="B21" s="645" t="s">
        <v>126</v>
      </c>
      <c r="C21" s="645"/>
      <c r="D21" s="645"/>
      <c r="E21" s="645"/>
      <c r="F21" s="645"/>
      <c r="G21" s="645"/>
      <c r="H21" s="645"/>
      <c r="I21" s="264"/>
    </row>
    <row r="22" spans="1:14" ht="26.25" customHeight="1" x14ac:dyDescent="0.4">
      <c r="A22" s="259" t="s">
        <v>37</v>
      </c>
      <c r="B22" s="101">
        <v>42531.493668981479</v>
      </c>
      <c r="C22" s="262"/>
      <c r="D22" s="262"/>
      <c r="E22" s="262"/>
      <c r="F22" s="262"/>
      <c r="G22" s="262"/>
      <c r="H22" s="262"/>
    </row>
    <row r="23" spans="1:14" ht="26.25" customHeight="1" x14ac:dyDescent="0.4">
      <c r="A23" s="259" t="s">
        <v>38</v>
      </c>
      <c r="B23" s="101">
        <v>42535.41033564815</v>
      </c>
      <c r="C23" s="262"/>
      <c r="D23" s="262"/>
      <c r="E23" s="262"/>
      <c r="F23" s="262"/>
      <c r="G23" s="262"/>
      <c r="H23" s="262"/>
    </row>
    <row r="24" spans="1:14" ht="18.75" x14ac:dyDescent="0.3">
      <c r="A24" s="259"/>
      <c r="B24" s="265"/>
    </row>
    <row r="25" spans="1:14" ht="18.75" x14ac:dyDescent="0.3">
      <c r="A25" s="266" t="s">
        <v>1</v>
      </c>
      <c r="B25" s="265"/>
    </row>
    <row r="26" spans="1:14" ht="26.25" customHeight="1" x14ac:dyDescent="0.4">
      <c r="A26" s="267" t="s">
        <v>4</v>
      </c>
      <c r="B26" s="644" t="s">
        <v>129</v>
      </c>
      <c r="C26" s="644"/>
    </row>
    <row r="27" spans="1:14" ht="26.25" customHeight="1" x14ac:dyDescent="0.4">
      <c r="A27" s="268" t="s">
        <v>48</v>
      </c>
      <c r="B27" s="646" t="s">
        <v>130</v>
      </c>
      <c r="C27" s="646"/>
    </row>
    <row r="28" spans="1:14" ht="27" customHeight="1" thickBot="1" x14ac:dyDescent="0.45">
      <c r="A28" s="268" t="s">
        <v>6</v>
      </c>
      <c r="B28" s="269">
        <v>99.5</v>
      </c>
    </row>
    <row r="29" spans="1:14" s="271" customFormat="1" ht="27" customHeight="1" thickBot="1" x14ac:dyDescent="0.45">
      <c r="A29" s="268" t="s">
        <v>49</v>
      </c>
      <c r="B29" s="270">
        <v>0</v>
      </c>
      <c r="C29" s="647" t="s">
        <v>50</v>
      </c>
      <c r="D29" s="648"/>
      <c r="E29" s="648"/>
      <c r="F29" s="648"/>
      <c r="G29" s="649"/>
      <c r="I29" s="272"/>
      <c r="J29" s="272"/>
      <c r="K29" s="272"/>
      <c r="L29" s="272"/>
    </row>
    <row r="30" spans="1:14" s="271" customFormat="1" ht="19.5" customHeight="1" thickBot="1" x14ac:dyDescent="0.35">
      <c r="A30" s="268" t="s">
        <v>51</v>
      </c>
      <c r="B30" s="273">
        <f>B28-B29</f>
        <v>99.5</v>
      </c>
      <c r="C30" s="274"/>
      <c r="D30" s="274"/>
      <c r="E30" s="274"/>
      <c r="F30" s="274"/>
      <c r="G30" s="275"/>
      <c r="I30" s="272"/>
      <c r="J30" s="272"/>
      <c r="K30" s="272"/>
      <c r="L30" s="272"/>
    </row>
    <row r="31" spans="1:14" s="271" customFormat="1" ht="27" customHeight="1" thickBot="1" x14ac:dyDescent="0.45">
      <c r="A31" s="268" t="s">
        <v>52</v>
      </c>
      <c r="B31" s="276">
        <v>1</v>
      </c>
      <c r="C31" s="635" t="s">
        <v>53</v>
      </c>
      <c r="D31" s="636"/>
      <c r="E31" s="636"/>
      <c r="F31" s="636"/>
      <c r="G31" s="636"/>
      <c r="H31" s="637"/>
      <c r="I31" s="272"/>
      <c r="J31" s="272"/>
      <c r="K31" s="272"/>
      <c r="L31" s="272"/>
    </row>
    <row r="32" spans="1:14" s="271" customFormat="1" ht="27" customHeight="1" thickBot="1" x14ac:dyDescent="0.45">
      <c r="A32" s="268" t="s">
        <v>54</v>
      </c>
      <c r="B32" s="276">
        <v>1</v>
      </c>
      <c r="C32" s="635" t="s">
        <v>55</v>
      </c>
      <c r="D32" s="636"/>
      <c r="E32" s="636"/>
      <c r="F32" s="636"/>
      <c r="G32" s="636"/>
      <c r="H32" s="637"/>
      <c r="I32" s="272"/>
      <c r="J32" s="272"/>
      <c r="K32" s="272"/>
      <c r="L32" s="277"/>
      <c r="M32" s="277"/>
      <c r="N32" s="278"/>
    </row>
    <row r="33" spans="1:14" s="271" customFormat="1" ht="17.25" customHeight="1" x14ac:dyDescent="0.3">
      <c r="A33" s="268"/>
      <c r="B33" s="279"/>
      <c r="C33" s="280"/>
      <c r="D33" s="280"/>
      <c r="E33" s="280"/>
      <c r="F33" s="280"/>
      <c r="G33" s="280"/>
      <c r="H33" s="280"/>
      <c r="I33" s="272"/>
      <c r="J33" s="272"/>
      <c r="K33" s="272"/>
      <c r="L33" s="277"/>
      <c r="M33" s="277"/>
      <c r="N33" s="278"/>
    </row>
    <row r="34" spans="1:14" s="271" customFormat="1" ht="18.75" x14ac:dyDescent="0.3">
      <c r="A34" s="268" t="s">
        <v>56</v>
      </c>
      <c r="B34" s="281">
        <f>B31/B32</f>
        <v>1</v>
      </c>
      <c r="C34" s="257" t="s">
        <v>57</v>
      </c>
      <c r="D34" s="257"/>
      <c r="E34" s="257"/>
      <c r="F34" s="257"/>
      <c r="G34" s="257"/>
      <c r="I34" s="272"/>
      <c r="J34" s="272"/>
      <c r="K34" s="272"/>
      <c r="L34" s="277"/>
      <c r="M34" s="277"/>
      <c r="N34" s="278"/>
    </row>
    <row r="35" spans="1:14" s="271" customFormat="1" ht="19.5" customHeight="1" thickBot="1" x14ac:dyDescent="0.35">
      <c r="A35" s="268"/>
      <c r="B35" s="273"/>
      <c r="G35" s="257"/>
      <c r="I35" s="272"/>
      <c r="J35" s="272"/>
      <c r="K35" s="272"/>
      <c r="L35" s="277"/>
      <c r="M35" s="277"/>
      <c r="N35" s="278"/>
    </row>
    <row r="36" spans="1:14" s="271" customFormat="1" ht="27" customHeight="1" thickBot="1" x14ac:dyDescent="0.45">
      <c r="A36" s="282" t="s">
        <v>58</v>
      </c>
      <c r="B36" s="283">
        <v>100</v>
      </c>
      <c r="C36" s="257"/>
      <c r="D36" s="650" t="s">
        <v>59</v>
      </c>
      <c r="E36" s="651"/>
      <c r="F36" s="650" t="s">
        <v>60</v>
      </c>
      <c r="G36" s="652"/>
      <c r="J36" s="272"/>
      <c r="K36" s="272"/>
      <c r="L36" s="277"/>
      <c r="M36" s="277"/>
      <c r="N36" s="278"/>
    </row>
    <row r="37" spans="1:14" s="271" customFormat="1" ht="27" customHeight="1" thickBot="1" x14ac:dyDescent="0.45">
      <c r="A37" s="284" t="s">
        <v>61</v>
      </c>
      <c r="B37" s="285">
        <v>1</v>
      </c>
      <c r="C37" s="286" t="s">
        <v>62</v>
      </c>
      <c r="D37" s="287" t="s">
        <v>63</v>
      </c>
      <c r="E37" s="288" t="s">
        <v>64</v>
      </c>
      <c r="F37" s="287" t="s">
        <v>63</v>
      </c>
      <c r="G37" s="289" t="s">
        <v>64</v>
      </c>
      <c r="I37" s="290" t="s">
        <v>65</v>
      </c>
      <c r="J37" s="272"/>
      <c r="K37" s="272"/>
      <c r="L37" s="277"/>
      <c r="M37" s="277"/>
      <c r="N37" s="278"/>
    </row>
    <row r="38" spans="1:14" s="271" customFormat="1" ht="26.25" customHeight="1" x14ac:dyDescent="0.4">
      <c r="A38" s="284" t="s">
        <v>66</v>
      </c>
      <c r="B38" s="285">
        <v>1</v>
      </c>
      <c r="C38" s="291">
        <v>1</v>
      </c>
      <c r="D38" s="292">
        <v>21674317</v>
      </c>
      <c r="E38" s="293">
        <f>IF(ISBLANK(D38),"-",$D$48/$D$45*D38)</f>
        <v>20146342.812327534</v>
      </c>
      <c r="F38" s="292">
        <v>20681768</v>
      </c>
      <c r="G38" s="294">
        <f>IF(ISBLANK(F38),"-",$D$48/$F$45*F38)</f>
        <v>20126551.907443289</v>
      </c>
      <c r="I38" s="295"/>
      <c r="J38" s="272"/>
      <c r="K38" s="272"/>
      <c r="L38" s="277"/>
      <c r="M38" s="277"/>
      <c r="N38" s="278"/>
    </row>
    <row r="39" spans="1:14" s="271" customFormat="1" ht="26.25" customHeight="1" x14ac:dyDescent="0.4">
      <c r="A39" s="284" t="s">
        <v>67</v>
      </c>
      <c r="B39" s="285">
        <v>1</v>
      </c>
      <c r="C39" s="296">
        <v>2</v>
      </c>
      <c r="D39" s="297">
        <v>21665103</v>
      </c>
      <c r="E39" s="298">
        <f>IF(ISBLANK(D39),"-",$D$48/$D$45*D39)</f>
        <v>20137778.371626921</v>
      </c>
      <c r="F39" s="297">
        <v>20681755</v>
      </c>
      <c r="G39" s="299">
        <f>IF(ISBLANK(F39),"-",$D$48/$F$45*F39)</f>
        <v>20126539.256437108</v>
      </c>
      <c r="I39" s="653">
        <f>ABS((F43/D43*D42)-F42)/D42</f>
        <v>6.2513027198285713E-4</v>
      </c>
      <c r="J39" s="272"/>
      <c r="K39" s="272"/>
      <c r="L39" s="277"/>
      <c r="M39" s="277"/>
      <c r="N39" s="278"/>
    </row>
    <row r="40" spans="1:14" ht="26.25" customHeight="1" x14ac:dyDescent="0.4">
      <c r="A40" s="284" t="s">
        <v>68</v>
      </c>
      <c r="B40" s="285">
        <v>1</v>
      </c>
      <c r="C40" s="296">
        <v>3</v>
      </c>
      <c r="D40" s="297">
        <v>21653799</v>
      </c>
      <c r="E40" s="298">
        <f>IF(ISBLANK(D40),"-",$D$48/$D$45*D40)</f>
        <v>20127271.269643012</v>
      </c>
      <c r="F40" s="297">
        <v>20673764</v>
      </c>
      <c r="G40" s="299">
        <f>IF(ISBLANK(F40),"-",$D$48/$F$45*F40)</f>
        <v>20118762.780253235</v>
      </c>
      <c r="I40" s="653"/>
      <c r="L40" s="277"/>
      <c r="M40" s="277"/>
      <c r="N40" s="257"/>
    </row>
    <row r="41" spans="1:14" ht="27" customHeight="1" thickBot="1" x14ac:dyDescent="0.45">
      <c r="A41" s="284" t="s">
        <v>69</v>
      </c>
      <c r="B41" s="285">
        <v>1</v>
      </c>
      <c r="C41" s="300">
        <v>4</v>
      </c>
      <c r="D41" s="301"/>
      <c r="E41" s="302" t="str">
        <f>IF(ISBLANK(D41),"-",$D$48/$D$45*D41)</f>
        <v>-</v>
      </c>
      <c r="F41" s="301"/>
      <c r="G41" s="303" t="str">
        <f>IF(ISBLANK(F41),"-",$D$48/$F$45*F41)</f>
        <v>-</v>
      </c>
      <c r="I41" s="304"/>
      <c r="L41" s="277"/>
      <c r="M41" s="277"/>
      <c r="N41" s="257"/>
    </row>
    <row r="42" spans="1:14" ht="27" customHeight="1" thickBot="1" x14ac:dyDescent="0.45">
      <c r="A42" s="284" t="s">
        <v>70</v>
      </c>
      <c r="B42" s="285">
        <v>1</v>
      </c>
      <c r="C42" s="305" t="s">
        <v>71</v>
      </c>
      <c r="D42" s="306">
        <f>AVERAGE(D38:D41)</f>
        <v>21664406.333333332</v>
      </c>
      <c r="E42" s="307">
        <f>AVERAGE(E38:E41)</f>
        <v>20137130.817865822</v>
      </c>
      <c r="F42" s="306">
        <f>AVERAGE(F38:F41)</f>
        <v>20679095.666666668</v>
      </c>
      <c r="G42" s="308">
        <f>AVERAGE(G38:G41)</f>
        <v>20123951.314711209</v>
      </c>
      <c r="H42" s="309"/>
    </row>
    <row r="43" spans="1:14" ht="26.25" customHeight="1" x14ac:dyDescent="0.4">
      <c r="A43" s="284" t="s">
        <v>72</v>
      </c>
      <c r="B43" s="285">
        <v>1</v>
      </c>
      <c r="C43" s="310" t="s">
        <v>73</v>
      </c>
      <c r="D43" s="311">
        <v>43.25</v>
      </c>
      <c r="E43" s="257"/>
      <c r="F43" s="311">
        <v>41.31</v>
      </c>
      <c r="H43" s="309"/>
    </row>
    <row r="44" spans="1:14" ht="26.25" customHeight="1" x14ac:dyDescent="0.4">
      <c r="A44" s="284" t="s">
        <v>74</v>
      </c>
      <c r="B44" s="285">
        <v>1</v>
      </c>
      <c r="C44" s="312" t="s">
        <v>75</v>
      </c>
      <c r="D44" s="313">
        <f>D43*$B$34</f>
        <v>43.25</v>
      </c>
      <c r="E44" s="314"/>
      <c r="F44" s="313">
        <f>F43*$B$34</f>
        <v>41.31</v>
      </c>
      <c r="H44" s="309"/>
    </row>
    <row r="45" spans="1:14" ht="19.5" customHeight="1" thickBot="1" x14ac:dyDescent="0.35">
      <c r="A45" s="284" t="s">
        <v>76</v>
      </c>
      <c r="B45" s="296">
        <f>(B44/B43)*(B42/B41)*(B40/B39)*(B38/B37)*B36</f>
        <v>100</v>
      </c>
      <c r="C45" s="312" t="s">
        <v>77</v>
      </c>
      <c r="D45" s="315">
        <f>D44*$B$30/100</f>
        <v>43.033749999999998</v>
      </c>
      <c r="E45" s="316"/>
      <c r="F45" s="315">
        <f>F44*$B$30/100</f>
        <v>41.103450000000002</v>
      </c>
      <c r="H45" s="309"/>
    </row>
    <row r="46" spans="1:14" ht="19.5" customHeight="1" thickBot="1" x14ac:dyDescent="0.35">
      <c r="A46" s="654" t="s">
        <v>78</v>
      </c>
      <c r="B46" s="655"/>
      <c r="C46" s="312" t="s">
        <v>79</v>
      </c>
      <c r="D46" s="317">
        <f>D45/$B$45</f>
        <v>0.43033749999999998</v>
      </c>
      <c r="E46" s="318"/>
      <c r="F46" s="319">
        <f>F45/$B$45</f>
        <v>0.41103450000000002</v>
      </c>
      <c r="H46" s="309"/>
    </row>
    <row r="47" spans="1:14" ht="27" customHeight="1" thickBot="1" x14ac:dyDescent="0.45">
      <c r="A47" s="656"/>
      <c r="B47" s="657"/>
      <c r="C47" s="320" t="s">
        <v>80</v>
      </c>
      <c r="D47" s="321">
        <v>0.4</v>
      </c>
      <c r="E47" s="322"/>
      <c r="F47" s="318"/>
      <c r="H47" s="309"/>
    </row>
    <row r="48" spans="1:14" ht="18.75" x14ac:dyDescent="0.3">
      <c r="C48" s="323" t="s">
        <v>81</v>
      </c>
      <c r="D48" s="315">
        <f>D47*$B$45</f>
        <v>40</v>
      </c>
      <c r="F48" s="324"/>
      <c r="H48" s="309"/>
    </row>
    <row r="49" spans="1:12" ht="19.5" customHeight="1" thickBot="1" x14ac:dyDescent="0.35">
      <c r="C49" s="325" t="s">
        <v>82</v>
      </c>
      <c r="D49" s="326">
        <f>D48/B34</f>
        <v>40</v>
      </c>
      <c r="F49" s="324"/>
      <c r="H49" s="309"/>
    </row>
    <row r="50" spans="1:12" ht="18.75" x14ac:dyDescent="0.3">
      <c r="C50" s="282" t="s">
        <v>83</v>
      </c>
      <c r="D50" s="327">
        <f>AVERAGE(E38:E41,G38:G41)</f>
        <v>20130541.066288516</v>
      </c>
      <c r="F50" s="328"/>
      <c r="H50" s="309"/>
    </row>
    <row r="51" spans="1:12" ht="18.75" x14ac:dyDescent="0.3">
      <c r="C51" s="284" t="s">
        <v>84</v>
      </c>
      <c r="D51" s="329">
        <f>STDEV(E38:E41,G38:G41)/D50</f>
        <v>4.8845258111315933E-4</v>
      </c>
      <c r="F51" s="328"/>
      <c r="H51" s="309"/>
    </row>
    <row r="52" spans="1:12" ht="19.5" customHeight="1" thickBot="1" x14ac:dyDescent="0.35">
      <c r="C52" s="330" t="s">
        <v>20</v>
      </c>
      <c r="D52" s="331">
        <f>COUNT(E38:E41,G38:G41)</f>
        <v>6</v>
      </c>
      <c r="F52" s="328"/>
    </row>
    <row r="54" spans="1:12" ht="18.75" x14ac:dyDescent="0.3">
      <c r="A54" s="332" t="s">
        <v>1</v>
      </c>
      <c r="B54" s="333" t="s">
        <v>85</v>
      </c>
    </row>
    <row r="55" spans="1:12" ht="18.75" x14ac:dyDescent="0.3">
      <c r="A55" s="257" t="s">
        <v>86</v>
      </c>
      <c r="B55" s="334" t="str">
        <f>B21</f>
        <v xml:space="preserve">Rifampicin 60mg, Isoniazid 30mg, Pyrazinamide 150mg 
</v>
      </c>
    </row>
    <row r="56" spans="1:12" ht="26.25" customHeight="1" x14ac:dyDescent="0.4">
      <c r="A56" s="334" t="s">
        <v>87</v>
      </c>
      <c r="B56" s="335">
        <v>150</v>
      </c>
      <c r="C56" s="257" t="str">
        <f>B20</f>
        <v xml:space="preserve">Rifampicin, Isoniazid, Pyrazinamide 
</v>
      </c>
      <c r="H56" s="314"/>
    </row>
    <row r="57" spans="1:12" ht="18.75" x14ac:dyDescent="0.3">
      <c r="A57" s="334" t="s">
        <v>88</v>
      </c>
      <c r="B57" s="336">
        <f>Uniformity!C46</f>
        <v>301.61950000000002</v>
      </c>
      <c r="H57" s="314"/>
    </row>
    <row r="58" spans="1:12" ht="19.5" customHeight="1" thickBot="1" x14ac:dyDescent="0.35">
      <c r="H58" s="314"/>
    </row>
    <row r="59" spans="1:12" s="271" customFormat="1" ht="27" customHeight="1" thickBot="1" x14ac:dyDescent="0.45">
      <c r="A59" s="282" t="s">
        <v>89</v>
      </c>
      <c r="B59" s="283">
        <v>100</v>
      </c>
      <c r="C59" s="257"/>
      <c r="D59" s="337" t="s">
        <v>90</v>
      </c>
      <c r="E59" s="338" t="s">
        <v>62</v>
      </c>
      <c r="F59" s="338" t="s">
        <v>63</v>
      </c>
      <c r="G59" s="338" t="s">
        <v>91</v>
      </c>
      <c r="H59" s="286" t="s">
        <v>92</v>
      </c>
      <c r="L59" s="272"/>
    </row>
    <row r="60" spans="1:12" s="271" customFormat="1" ht="26.25" customHeight="1" x14ac:dyDescent="0.4">
      <c r="A60" s="284" t="s">
        <v>93</v>
      </c>
      <c r="B60" s="285">
        <v>1</v>
      </c>
      <c r="C60" s="658" t="s">
        <v>94</v>
      </c>
      <c r="D60" s="661">
        <v>80.7</v>
      </c>
      <c r="E60" s="339">
        <v>1</v>
      </c>
      <c r="F60" s="340">
        <v>20092434</v>
      </c>
      <c r="G60" s="341">
        <f>IF(ISBLANK(F60),"-",(F60/$D$50*$D$47*$B$68)*($B$57/$D$60))</f>
        <v>149.21860471124805</v>
      </c>
      <c r="H60" s="342">
        <f t="shared" ref="H60:H71" si="0">IF(ISBLANK(F60),"-",G60/$B$56)</f>
        <v>0.99479069807498699</v>
      </c>
      <c r="L60" s="272"/>
    </row>
    <row r="61" spans="1:12" s="271" customFormat="1" ht="26.25" customHeight="1" x14ac:dyDescent="0.4">
      <c r="A61" s="284" t="s">
        <v>95</v>
      </c>
      <c r="B61" s="285">
        <v>1</v>
      </c>
      <c r="C61" s="659"/>
      <c r="D61" s="662"/>
      <c r="E61" s="343">
        <v>2</v>
      </c>
      <c r="F61" s="297">
        <v>20085019</v>
      </c>
      <c r="G61" s="344">
        <f>IF(ISBLANK(F61),"-",(F61/$D$50*$D$47*$B$68)*($B$57/$D$60))</f>
        <v>149.16353642266074</v>
      </c>
      <c r="H61" s="345">
        <f t="shared" si="0"/>
        <v>0.99442357615107158</v>
      </c>
      <c r="L61" s="272"/>
    </row>
    <row r="62" spans="1:12" s="271" customFormat="1" ht="26.25" customHeight="1" x14ac:dyDescent="0.4">
      <c r="A62" s="284" t="s">
        <v>96</v>
      </c>
      <c r="B62" s="285">
        <v>1</v>
      </c>
      <c r="C62" s="659"/>
      <c r="D62" s="662"/>
      <c r="E62" s="343">
        <v>3</v>
      </c>
      <c r="F62" s="346">
        <v>20086282</v>
      </c>
      <c r="G62" s="344">
        <f>IF(ISBLANK(F62),"-",(F62/$D$50*$D$47*$B$68)*($B$57/$D$60))</f>
        <v>149.17291622690698</v>
      </c>
      <c r="H62" s="345">
        <f t="shared" si="0"/>
        <v>0.99448610817937988</v>
      </c>
      <c r="L62" s="272"/>
    </row>
    <row r="63" spans="1:12" ht="27" customHeight="1" thickBot="1" x14ac:dyDescent="0.45">
      <c r="A63" s="284" t="s">
        <v>97</v>
      </c>
      <c r="B63" s="285">
        <v>1</v>
      </c>
      <c r="C63" s="660"/>
      <c r="D63" s="663"/>
      <c r="E63" s="347">
        <v>4</v>
      </c>
      <c r="F63" s="348"/>
      <c r="G63" s="344" t="str">
        <f>IF(ISBLANK(F63),"-",(F63/$D$50*$D$47*$B$68)*($B$57/$D$60))</f>
        <v>-</v>
      </c>
      <c r="H63" s="345" t="str">
        <f t="shared" si="0"/>
        <v>-</v>
      </c>
    </row>
    <row r="64" spans="1:12" ht="26.25" customHeight="1" x14ac:dyDescent="0.4">
      <c r="A64" s="284" t="s">
        <v>98</v>
      </c>
      <c r="B64" s="285">
        <v>1</v>
      </c>
      <c r="C64" s="658" t="s">
        <v>99</v>
      </c>
      <c r="D64" s="661">
        <v>80.37</v>
      </c>
      <c r="E64" s="339">
        <v>1</v>
      </c>
      <c r="F64" s="340">
        <v>20709043</v>
      </c>
      <c r="G64" s="349">
        <f>IF(ISBLANK(F64),"-",(F64/$D$50*$D$47*$B$68)*($B$57/$D$64))</f>
        <v>154.42941297497057</v>
      </c>
      <c r="H64" s="350">
        <f t="shared" si="0"/>
        <v>1.0295294198331371</v>
      </c>
    </row>
    <row r="65" spans="1:8" ht="26.25" customHeight="1" x14ac:dyDescent="0.4">
      <c r="A65" s="284" t="s">
        <v>100</v>
      </c>
      <c r="B65" s="285">
        <v>1</v>
      </c>
      <c r="C65" s="659"/>
      <c r="D65" s="662"/>
      <c r="E65" s="343">
        <v>2</v>
      </c>
      <c r="F65" s="297">
        <v>20700720</v>
      </c>
      <c r="G65" s="351">
        <f>IF(ISBLANK(F65),"-",(F65/$D$50*$D$47*$B$68)*($B$57/$D$64))</f>
        <v>154.36734752828673</v>
      </c>
      <c r="H65" s="352">
        <f t="shared" si="0"/>
        <v>1.0291156501885781</v>
      </c>
    </row>
    <row r="66" spans="1:8" ht="26.25" customHeight="1" x14ac:dyDescent="0.4">
      <c r="A66" s="284" t="s">
        <v>101</v>
      </c>
      <c r="B66" s="285">
        <v>1</v>
      </c>
      <c r="C66" s="659"/>
      <c r="D66" s="662"/>
      <c r="E66" s="343">
        <v>3</v>
      </c>
      <c r="F66" s="297">
        <v>20695328</v>
      </c>
      <c r="G66" s="351">
        <f>IF(ISBLANK(F66),"-",(F66/$D$50*$D$47*$B$68)*($B$57/$D$64))</f>
        <v>154.32713884289447</v>
      </c>
      <c r="H66" s="352">
        <f t="shared" si="0"/>
        <v>1.0288475922859632</v>
      </c>
    </row>
    <row r="67" spans="1:8" ht="27" customHeight="1" thickBot="1" x14ac:dyDescent="0.45">
      <c r="A67" s="284" t="s">
        <v>102</v>
      </c>
      <c r="B67" s="285">
        <v>1</v>
      </c>
      <c r="C67" s="660"/>
      <c r="D67" s="663"/>
      <c r="E67" s="347">
        <v>4</v>
      </c>
      <c r="F67" s="348"/>
      <c r="G67" s="353" t="str">
        <f>IF(ISBLANK(F67),"-",(F67/$D$50*$D$47*$B$68)*($B$57/$D$64))</f>
        <v>-</v>
      </c>
      <c r="H67" s="354" t="str">
        <f t="shared" si="0"/>
        <v>-</v>
      </c>
    </row>
    <row r="68" spans="1:8" ht="26.25" customHeight="1" x14ac:dyDescent="0.4">
      <c r="A68" s="284" t="s">
        <v>103</v>
      </c>
      <c r="B68" s="355">
        <f>(B67/B66)*(B65/B64)*(B63/B62)*(B61/B60)*B59</f>
        <v>100</v>
      </c>
      <c r="C68" s="658" t="s">
        <v>104</v>
      </c>
      <c r="D68" s="661">
        <v>79.89</v>
      </c>
      <c r="E68" s="339">
        <v>1</v>
      </c>
      <c r="F68" s="340">
        <v>19821355</v>
      </c>
      <c r="G68" s="349">
        <f>IF(ISBLANK(F68),"-",(F68/$D$50*$D$47*$B$68)*($B$57/$D$68))</f>
        <v>148.69791454599959</v>
      </c>
      <c r="H68" s="345">
        <f t="shared" si="0"/>
        <v>0.99131943030666392</v>
      </c>
    </row>
    <row r="69" spans="1:8" ht="27" customHeight="1" thickBot="1" x14ac:dyDescent="0.45">
      <c r="A69" s="330" t="s">
        <v>105</v>
      </c>
      <c r="B69" s="356">
        <f>(D47*B68)/B56*B57</f>
        <v>80.431866666666664</v>
      </c>
      <c r="C69" s="659"/>
      <c r="D69" s="662"/>
      <c r="E69" s="343">
        <v>2</v>
      </c>
      <c r="F69" s="297">
        <v>19835239</v>
      </c>
      <c r="G69" s="351">
        <f>IF(ISBLANK(F69),"-",(F69/$D$50*$D$47*$B$68)*($B$57/$D$68))</f>
        <v>148.80207098967139</v>
      </c>
      <c r="H69" s="345">
        <f t="shared" si="0"/>
        <v>0.99201380659780924</v>
      </c>
    </row>
    <row r="70" spans="1:8" ht="26.25" customHeight="1" x14ac:dyDescent="0.4">
      <c r="A70" s="666" t="s">
        <v>78</v>
      </c>
      <c r="B70" s="667"/>
      <c r="C70" s="659"/>
      <c r="D70" s="662"/>
      <c r="E70" s="343">
        <v>3</v>
      </c>
      <c r="F70" s="297">
        <v>19829982</v>
      </c>
      <c r="G70" s="351">
        <f>IF(ISBLANK(F70),"-",(F70/$D$50*$D$47*$B$68)*($B$57/$D$68))</f>
        <v>148.76263347711142</v>
      </c>
      <c r="H70" s="345">
        <f t="shared" si="0"/>
        <v>0.99175088984740944</v>
      </c>
    </row>
    <row r="71" spans="1:8" ht="27" customHeight="1" thickBot="1" x14ac:dyDescent="0.45">
      <c r="A71" s="668"/>
      <c r="B71" s="669"/>
      <c r="C71" s="664"/>
      <c r="D71" s="663"/>
      <c r="E71" s="347">
        <v>4</v>
      </c>
      <c r="F71" s="348"/>
      <c r="G71" s="353" t="str">
        <f>IF(ISBLANK(F71),"-",(F71/$D$50*$D$47*$B$68)*($B$57/$D$68))</f>
        <v>-</v>
      </c>
      <c r="H71" s="357" t="str">
        <f t="shared" si="0"/>
        <v>-</v>
      </c>
    </row>
    <row r="72" spans="1:8" ht="26.25" customHeight="1" x14ac:dyDescent="0.4">
      <c r="A72" s="314"/>
      <c r="B72" s="314"/>
      <c r="C72" s="314"/>
      <c r="D72" s="314"/>
      <c r="E72" s="314"/>
      <c r="F72" s="358" t="s">
        <v>71</v>
      </c>
      <c r="G72" s="359">
        <f>AVERAGE(G60:G71)</f>
        <v>150.77128619108331</v>
      </c>
      <c r="H72" s="360">
        <f>AVERAGE(H60:H71)</f>
        <v>1.0051419079405557</v>
      </c>
    </row>
    <row r="73" spans="1:8" ht="26.25" customHeight="1" x14ac:dyDescent="0.4">
      <c r="C73" s="314"/>
      <c r="D73" s="314"/>
      <c r="E73" s="314"/>
      <c r="F73" s="361" t="s">
        <v>84</v>
      </c>
      <c r="G73" s="362">
        <f>STDEV(G60:G71)/G72</f>
        <v>1.7969145193956759E-2</v>
      </c>
      <c r="H73" s="362">
        <f>STDEV(H60:H71)/H72</f>
        <v>1.7969145193956749E-2</v>
      </c>
    </row>
    <row r="74" spans="1:8" ht="27" customHeight="1" thickBot="1" x14ac:dyDescent="0.45">
      <c r="A74" s="314"/>
      <c r="B74" s="314"/>
      <c r="C74" s="314"/>
      <c r="D74" s="314"/>
      <c r="E74" s="316"/>
      <c r="F74" s="363" t="s">
        <v>20</v>
      </c>
      <c r="G74" s="364">
        <f>COUNT(G60:G71)</f>
        <v>9</v>
      </c>
      <c r="H74" s="364">
        <f>COUNT(H60:H71)</f>
        <v>9</v>
      </c>
    </row>
    <row r="76" spans="1:8" ht="26.25" customHeight="1" x14ac:dyDescent="0.4">
      <c r="A76" s="267" t="s">
        <v>106</v>
      </c>
      <c r="B76" s="268" t="s">
        <v>107</v>
      </c>
      <c r="C76" s="670" t="str">
        <f>B20</f>
        <v xml:space="preserve">Rifampicin, Isoniazid, Pyrazinamide 
</v>
      </c>
      <c r="D76" s="670"/>
      <c r="E76" s="257" t="s">
        <v>108</v>
      </c>
      <c r="F76" s="257"/>
      <c r="G76" s="365">
        <f>H72</f>
        <v>1.0051419079405557</v>
      </c>
      <c r="H76" s="273"/>
    </row>
    <row r="77" spans="1:8" ht="18.75" x14ac:dyDescent="0.3">
      <c r="A77" s="266" t="s">
        <v>109</v>
      </c>
      <c r="B77" s="266" t="s">
        <v>110</v>
      </c>
    </row>
    <row r="78" spans="1:8" ht="18.75" x14ac:dyDescent="0.3">
      <c r="A78" s="266"/>
      <c r="B78" s="266"/>
    </row>
    <row r="79" spans="1:8" ht="26.25" customHeight="1" x14ac:dyDescent="0.4">
      <c r="A79" s="267" t="s">
        <v>4</v>
      </c>
      <c r="B79" s="665" t="str">
        <f>B26</f>
        <v>Pyrazinamide</v>
      </c>
      <c r="C79" s="665"/>
    </row>
    <row r="80" spans="1:8" ht="26.25" customHeight="1" x14ac:dyDescent="0.4">
      <c r="A80" s="268" t="s">
        <v>48</v>
      </c>
      <c r="B80" s="665" t="str">
        <f>B27</f>
        <v>P19-1</v>
      </c>
      <c r="C80" s="665"/>
    </row>
    <row r="81" spans="1:12" ht="27" customHeight="1" thickBot="1" x14ac:dyDescent="0.45">
      <c r="A81" s="268" t="s">
        <v>6</v>
      </c>
      <c r="B81" s="269">
        <f>B28</f>
        <v>99.5</v>
      </c>
    </row>
    <row r="82" spans="1:12" s="271" customFormat="1" ht="27" customHeight="1" thickBot="1" x14ac:dyDescent="0.45">
      <c r="A82" s="268" t="s">
        <v>49</v>
      </c>
      <c r="B82" s="270">
        <v>0</v>
      </c>
      <c r="C82" s="647" t="s">
        <v>50</v>
      </c>
      <c r="D82" s="648"/>
      <c r="E82" s="648"/>
      <c r="F82" s="648"/>
      <c r="G82" s="649"/>
      <c r="I82" s="272"/>
      <c r="J82" s="272"/>
      <c r="K82" s="272"/>
      <c r="L82" s="272"/>
    </row>
    <row r="83" spans="1:12" s="271" customFormat="1" ht="19.5" customHeight="1" thickBot="1" x14ac:dyDescent="0.35">
      <c r="A83" s="268" t="s">
        <v>51</v>
      </c>
      <c r="B83" s="273">
        <f>B81-B82</f>
        <v>99.5</v>
      </c>
      <c r="C83" s="274"/>
      <c r="D83" s="274"/>
      <c r="E83" s="274"/>
      <c r="F83" s="274"/>
      <c r="G83" s="275"/>
      <c r="I83" s="272"/>
      <c r="J83" s="272"/>
      <c r="K83" s="272"/>
      <c r="L83" s="272"/>
    </row>
    <row r="84" spans="1:12" s="271" customFormat="1" ht="27" customHeight="1" thickBot="1" x14ac:dyDescent="0.45">
      <c r="A84" s="268" t="s">
        <v>52</v>
      </c>
      <c r="B84" s="276">
        <v>1</v>
      </c>
      <c r="C84" s="635" t="s">
        <v>111</v>
      </c>
      <c r="D84" s="636"/>
      <c r="E84" s="636"/>
      <c r="F84" s="636"/>
      <c r="G84" s="636"/>
      <c r="H84" s="637"/>
      <c r="I84" s="272"/>
      <c r="J84" s="272"/>
      <c r="K84" s="272"/>
      <c r="L84" s="272"/>
    </row>
    <row r="85" spans="1:12" s="271" customFormat="1" ht="27" customHeight="1" thickBot="1" x14ac:dyDescent="0.45">
      <c r="A85" s="268" t="s">
        <v>54</v>
      </c>
      <c r="B85" s="276">
        <v>1</v>
      </c>
      <c r="C85" s="635" t="s">
        <v>112</v>
      </c>
      <c r="D85" s="636"/>
      <c r="E85" s="636"/>
      <c r="F85" s="636"/>
      <c r="G85" s="636"/>
      <c r="H85" s="637"/>
      <c r="I85" s="272"/>
      <c r="J85" s="272"/>
      <c r="K85" s="272"/>
      <c r="L85" s="272"/>
    </row>
    <row r="86" spans="1:12" s="271" customFormat="1" ht="18.75" x14ac:dyDescent="0.3">
      <c r="A86" s="268"/>
      <c r="B86" s="279"/>
      <c r="C86" s="280"/>
      <c r="D86" s="280"/>
      <c r="E86" s="280"/>
      <c r="F86" s="280"/>
      <c r="G86" s="280"/>
      <c r="H86" s="280"/>
      <c r="I86" s="272"/>
      <c r="J86" s="272"/>
      <c r="K86" s="272"/>
      <c r="L86" s="272"/>
    </row>
    <row r="87" spans="1:12" s="271" customFormat="1" ht="18.75" x14ac:dyDescent="0.3">
      <c r="A87" s="268" t="s">
        <v>56</v>
      </c>
      <c r="B87" s="281">
        <f>B84/B85</f>
        <v>1</v>
      </c>
      <c r="C87" s="257" t="s">
        <v>57</v>
      </c>
      <c r="D87" s="257"/>
      <c r="E87" s="257"/>
      <c r="F87" s="257"/>
      <c r="G87" s="257"/>
      <c r="I87" s="272"/>
      <c r="J87" s="272"/>
      <c r="K87" s="272"/>
      <c r="L87" s="272"/>
    </row>
    <row r="88" spans="1:12" ht="19.5" customHeight="1" thickBot="1" x14ac:dyDescent="0.35">
      <c r="A88" s="266"/>
      <c r="B88" s="266"/>
    </row>
    <row r="89" spans="1:12" ht="27" customHeight="1" thickBot="1" x14ac:dyDescent="0.45">
      <c r="A89" s="282" t="s">
        <v>58</v>
      </c>
      <c r="B89" s="283">
        <v>100</v>
      </c>
      <c r="D89" s="366" t="s">
        <v>59</v>
      </c>
      <c r="E89" s="367"/>
      <c r="F89" s="650" t="s">
        <v>60</v>
      </c>
      <c r="G89" s="652"/>
    </row>
    <row r="90" spans="1:12" ht="27" customHeight="1" thickBot="1" x14ac:dyDescent="0.45">
      <c r="A90" s="284" t="s">
        <v>61</v>
      </c>
      <c r="B90" s="285">
        <v>10</v>
      </c>
      <c r="C90" s="368" t="s">
        <v>62</v>
      </c>
      <c r="D90" s="287" t="s">
        <v>63</v>
      </c>
      <c r="E90" s="288" t="s">
        <v>64</v>
      </c>
      <c r="F90" s="287" t="s">
        <v>63</v>
      </c>
      <c r="G90" s="369" t="s">
        <v>64</v>
      </c>
      <c r="I90" s="290" t="s">
        <v>65</v>
      </c>
    </row>
    <row r="91" spans="1:12" ht="26.25" customHeight="1" x14ac:dyDescent="0.4">
      <c r="A91" s="284" t="s">
        <v>66</v>
      </c>
      <c r="B91" s="285">
        <v>25</v>
      </c>
      <c r="C91" s="370">
        <v>1</v>
      </c>
      <c r="D91" s="292">
        <v>8746067</v>
      </c>
      <c r="E91" s="293">
        <f>IF(ISBLANK(D91),"-",$D$101/$D$98*D91)</f>
        <v>8468224.5524346214</v>
      </c>
      <c r="F91" s="292">
        <v>8335845</v>
      </c>
      <c r="G91" s="294">
        <f>IF(ISBLANK(F91),"-",$D$101/$F$98*F91)</f>
        <v>8450066.2353160121</v>
      </c>
      <c r="I91" s="295"/>
    </row>
    <row r="92" spans="1:12" ht="26.25" customHeight="1" x14ac:dyDescent="0.4">
      <c r="A92" s="284" t="s">
        <v>67</v>
      </c>
      <c r="B92" s="285">
        <v>1</v>
      </c>
      <c r="C92" s="314">
        <v>2</v>
      </c>
      <c r="D92" s="297">
        <v>8777847</v>
      </c>
      <c r="E92" s="298">
        <f>IF(ISBLANK(D92),"-",$D$101/$D$98*D92)</f>
        <v>8498994.9748743717</v>
      </c>
      <c r="F92" s="297">
        <v>8332573</v>
      </c>
      <c r="G92" s="299">
        <f>IF(ISBLANK(F92),"-",$D$101/$F$98*F92)</f>
        <v>8446749.4010032397</v>
      </c>
      <c r="I92" s="653">
        <f>ABS((F96/D96*D95)-F95)/D95</f>
        <v>2.121980535110703E-3</v>
      </c>
    </row>
    <row r="93" spans="1:12" ht="26.25" customHeight="1" x14ac:dyDescent="0.4">
      <c r="A93" s="284" t="s">
        <v>68</v>
      </c>
      <c r="B93" s="285">
        <v>1</v>
      </c>
      <c r="C93" s="314">
        <v>3</v>
      </c>
      <c r="D93" s="297">
        <v>8728414</v>
      </c>
      <c r="E93" s="298">
        <f>IF(ISBLANK(D93),"-",$D$101/$D$98*D93)</f>
        <v>8451132.3476728536</v>
      </c>
      <c r="F93" s="297">
        <v>8350642</v>
      </c>
      <c r="G93" s="299">
        <f>IF(ISBLANK(F93),"-",$D$101/$F$98*F93)</f>
        <v>8465065.9900000263</v>
      </c>
      <c r="I93" s="653"/>
    </row>
    <row r="94" spans="1:12" ht="27" customHeight="1" thickBot="1" x14ac:dyDescent="0.45">
      <c r="A94" s="284" t="s">
        <v>69</v>
      </c>
      <c r="B94" s="285">
        <v>1</v>
      </c>
      <c r="C94" s="371">
        <v>4</v>
      </c>
      <c r="D94" s="301"/>
      <c r="E94" s="302" t="str">
        <f>IF(ISBLANK(D94),"-",$D$101/$D$98*D94)</f>
        <v>-</v>
      </c>
      <c r="F94" s="372"/>
      <c r="G94" s="303" t="str">
        <f>IF(ISBLANK(F94),"-",$D$101/$F$98*F94)</f>
        <v>-</v>
      </c>
      <c r="I94" s="304"/>
    </row>
    <row r="95" spans="1:12" ht="27" customHeight="1" thickBot="1" x14ac:dyDescent="0.45">
      <c r="A95" s="284" t="s">
        <v>70</v>
      </c>
      <c r="B95" s="285">
        <v>1</v>
      </c>
      <c r="C95" s="268" t="s">
        <v>71</v>
      </c>
      <c r="D95" s="373">
        <f>AVERAGE(D91:D94)</f>
        <v>8750776</v>
      </c>
      <c r="E95" s="307">
        <f>AVERAGE(E91:E94)</f>
        <v>8472783.9583272822</v>
      </c>
      <c r="F95" s="374">
        <f>AVERAGE(F91:F94)</f>
        <v>8339686.666666667</v>
      </c>
      <c r="G95" s="375">
        <f>AVERAGE(G91:G94)</f>
        <v>8453960.5421064254</v>
      </c>
    </row>
    <row r="96" spans="1:12" ht="26.25" customHeight="1" x14ac:dyDescent="0.4">
      <c r="A96" s="284" t="s">
        <v>72</v>
      </c>
      <c r="B96" s="269">
        <v>1</v>
      </c>
      <c r="C96" s="376" t="s">
        <v>113</v>
      </c>
      <c r="D96" s="377">
        <v>43.25</v>
      </c>
      <c r="E96" s="257"/>
      <c r="F96" s="311">
        <v>41.31</v>
      </c>
    </row>
    <row r="97" spans="1:10" ht="26.25" customHeight="1" x14ac:dyDescent="0.4">
      <c r="A97" s="284" t="s">
        <v>74</v>
      </c>
      <c r="B97" s="269">
        <v>1</v>
      </c>
      <c r="C97" s="378" t="s">
        <v>114</v>
      </c>
      <c r="D97" s="379">
        <f>D96*$B$87</f>
        <v>43.25</v>
      </c>
      <c r="E97" s="314"/>
      <c r="F97" s="313">
        <f>F96*$B$87</f>
        <v>41.31</v>
      </c>
    </row>
    <row r="98" spans="1:10" ht="19.5" customHeight="1" thickBot="1" x14ac:dyDescent="0.35">
      <c r="A98" s="284" t="s">
        <v>76</v>
      </c>
      <c r="B98" s="314">
        <f>(B97/B96)*(B95/B94)*(B93/B92)*(B91/B90)*B89</f>
        <v>250</v>
      </c>
      <c r="C98" s="378" t="s">
        <v>115</v>
      </c>
      <c r="D98" s="380">
        <f>D97*$B$83/100</f>
        <v>43.033749999999998</v>
      </c>
      <c r="E98" s="316"/>
      <c r="F98" s="315">
        <f>F97*$B$83/100</f>
        <v>41.103450000000002</v>
      </c>
    </row>
    <row r="99" spans="1:10" ht="19.5" customHeight="1" thickBot="1" x14ac:dyDescent="0.35">
      <c r="A99" s="654" t="s">
        <v>78</v>
      </c>
      <c r="B99" s="671"/>
      <c r="C99" s="378" t="s">
        <v>116</v>
      </c>
      <c r="D99" s="381">
        <f>D98/$B$98</f>
        <v>0.17213499999999998</v>
      </c>
      <c r="E99" s="316"/>
      <c r="F99" s="319">
        <f>F98/$B$98</f>
        <v>0.1644138</v>
      </c>
      <c r="H99" s="309"/>
    </row>
    <row r="100" spans="1:10" ht="19.5" customHeight="1" thickBot="1" x14ac:dyDescent="0.35">
      <c r="A100" s="656"/>
      <c r="B100" s="672"/>
      <c r="C100" s="378" t="s">
        <v>80</v>
      </c>
      <c r="D100" s="382">
        <f>$B$56/$B$116</f>
        <v>0.16666666666666666</v>
      </c>
      <c r="F100" s="324"/>
      <c r="G100" s="383"/>
      <c r="H100" s="309"/>
    </row>
    <row r="101" spans="1:10" ht="18.75" x14ac:dyDescent="0.3">
      <c r="C101" s="378" t="s">
        <v>81</v>
      </c>
      <c r="D101" s="379">
        <f>D100*$B$98</f>
        <v>41.666666666666664</v>
      </c>
      <c r="F101" s="324"/>
      <c r="H101" s="309"/>
    </row>
    <row r="102" spans="1:10" ht="19.5" customHeight="1" thickBot="1" x14ac:dyDescent="0.35">
      <c r="C102" s="384" t="s">
        <v>82</v>
      </c>
      <c r="D102" s="385">
        <f>D101/B34</f>
        <v>41.666666666666664</v>
      </c>
      <c r="F102" s="328"/>
      <c r="H102" s="309"/>
      <c r="J102" s="386"/>
    </row>
    <row r="103" spans="1:10" ht="18.75" x14ac:dyDescent="0.3">
      <c r="C103" s="387" t="s">
        <v>117</v>
      </c>
      <c r="D103" s="388">
        <f>AVERAGE(E91:E94,G91:G94)</f>
        <v>8463372.2502168547</v>
      </c>
      <c r="F103" s="328"/>
      <c r="G103" s="383"/>
      <c r="H103" s="309"/>
      <c r="J103" s="389"/>
    </row>
    <row r="104" spans="1:10" ht="18.75" x14ac:dyDescent="0.3">
      <c r="C104" s="361" t="s">
        <v>84</v>
      </c>
      <c r="D104" s="390">
        <f>STDEV(E91:E94,G91:G94)/D103</f>
        <v>2.3024255781665783E-3</v>
      </c>
      <c r="F104" s="328"/>
      <c r="H104" s="309"/>
      <c r="J104" s="389"/>
    </row>
    <row r="105" spans="1:10" ht="19.5" customHeight="1" thickBot="1" x14ac:dyDescent="0.35">
      <c r="C105" s="363" t="s">
        <v>20</v>
      </c>
      <c r="D105" s="391">
        <f>COUNT(E91:E94,G91:G94)</f>
        <v>6</v>
      </c>
      <c r="F105" s="328"/>
      <c r="H105" s="309"/>
      <c r="J105" s="389"/>
    </row>
    <row r="106" spans="1:10" ht="19.5" customHeight="1" thickBot="1" x14ac:dyDescent="0.35">
      <c r="A106" s="332"/>
      <c r="B106" s="332"/>
      <c r="C106" s="332"/>
      <c r="D106" s="332"/>
      <c r="E106" s="332"/>
    </row>
    <row r="107" spans="1:10" ht="26.25" customHeight="1" x14ac:dyDescent="0.4">
      <c r="A107" s="282" t="s">
        <v>118</v>
      </c>
      <c r="B107" s="283">
        <v>900</v>
      </c>
      <c r="C107" s="366" t="s">
        <v>119</v>
      </c>
      <c r="D107" s="392" t="s">
        <v>63</v>
      </c>
      <c r="E107" s="393" t="s">
        <v>120</v>
      </c>
      <c r="F107" s="394" t="s">
        <v>121</v>
      </c>
    </row>
    <row r="108" spans="1:10" ht="26.25" customHeight="1" x14ac:dyDescent="0.4">
      <c r="A108" s="284" t="s">
        <v>122</v>
      </c>
      <c r="B108" s="285">
        <v>1</v>
      </c>
      <c r="C108" s="395">
        <v>1</v>
      </c>
      <c r="D108" s="396">
        <v>8231441</v>
      </c>
      <c r="E108" s="397">
        <f t="shared" ref="E108:E113" si="1">IF(ISBLANK(D108),"-",D108/$D$103*$D$100*$B$116)</f>
        <v>145.88938232846405</v>
      </c>
      <c r="F108" s="398">
        <f t="shared" ref="F108:F113" si="2">IF(ISBLANK(D108), "-", E108/$B$56)</f>
        <v>0.97259588218976034</v>
      </c>
    </row>
    <row r="109" spans="1:10" ht="26.25" customHeight="1" x14ac:dyDescent="0.4">
      <c r="A109" s="284" t="s">
        <v>95</v>
      </c>
      <c r="B109" s="285">
        <v>1</v>
      </c>
      <c r="C109" s="395">
        <v>2</v>
      </c>
      <c r="D109" s="396">
        <v>8104346</v>
      </c>
      <c r="E109" s="399">
        <f t="shared" si="1"/>
        <v>143.63682277697893</v>
      </c>
      <c r="F109" s="400">
        <f t="shared" si="2"/>
        <v>0.95757881851319293</v>
      </c>
    </row>
    <row r="110" spans="1:10" ht="26.25" customHeight="1" x14ac:dyDescent="0.4">
      <c r="A110" s="284" t="s">
        <v>96</v>
      </c>
      <c r="B110" s="285">
        <v>1</v>
      </c>
      <c r="C110" s="395">
        <v>3</v>
      </c>
      <c r="D110" s="396">
        <v>8032972</v>
      </c>
      <c r="E110" s="399">
        <f t="shared" si="1"/>
        <v>142.37183056306259</v>
      </c>
      <c r="F110" s="400">
        <f t="shared" si="2"/>
        <v>0.94914553708708393</v>
      </c>
    </row>
    <row r="111" spans="1:10" ht="26.25" customHeight="1" x14ac:dyDescent="0.4">
      <c r="A111" s="284" t="s">
        <v>97</v>
      </c>
      <c r="B111" s="285">
        <v>1</v>
      </c>
      <c r="C111" s="395">
        <v>4</v>
      </c>
      <c r="D111" s="396">
        <v>8345965</v>
      </c>
      <c r="E111" s="399">
        <f t="shared" si="1"/>
        <v>147.91914062009064</v>
      </c>
      <c r="F111" s="400">
        <f t="shared" si="2"/>
        <v>0.98612760413393763</v>
      </c>
    </row>
    <row r="112" spans="1:10" ht="26.25" customHeight="1" x14ac:dyDescent="0.4">
      <c r="A112" s="284" t="s">
        <v>98</v>
      </c>
      <c r="B112" s="285">
        <v>1</v>
      </c>
      <c r="C112" s="395">
        <v>5</v>
      </c>
      <c r="D112" s="396">
        <v>7983447</v>
      </c>
      <c r="E112" s="399">
        <f t="shared" si="1"/>
        <v>141.49407760828623</v>
      </c>
      <c r="F112" s="400">
        <f t="shared" si="2"/>
        <v>0.94329385072190819</v>
      </c>
    </row>
    <row r="113" spans="1:10" ht="26.25" customHeight="1" x14ac:dyDescent="0.4">
      <c r="A113" s="284" t="s">
        <v>100</v>
      </c>
      <c r="B113" s="285">
        <v>1</v>
      </c>
      <c r="C113" s="401">
        <v>6</v>
      </c>
      <c r="D113" s="402">
        <v>8191573</v>
      </c>
      <c r="E113" s="403">
        <f t="shared" si="1"/>
        <v>145.18278455358222</v>
      </c>
      <c r="F113" s="404">
        <f t="shared" si="2"/>
        <v>0.96788523035721485</v>
      </c>
    </row>
    <row r="114" spans="1:10" ht="26.25" customHeight="1" x14ac:dyDescent="0.4">
      <c r="A114" s="284" t="s">
        <v>101</v>
      </c>
      <c r="B114" s="285">
        <v>1</v>
      </c>
      <c r="C114" s="395"/>
      <c r="D114" s="314"/>
      <c r="E114" s="257"/>
      <c r="F114" s="405"/>
    </row>
    <row r="115" spans="1:10" ht="26.25" customHeight="1" x14ac:dyDescent="0.4">
      <c r="A115" s="284" t="s">
        <v>102</v>
      </c>
      <c r="B115" s="285">
        <v>1</v>
      </c>
      <c r="C115" s="395"/>
      <c r="D115" s="406" t="s">
        <v>71</v>
      </c>
      <c r="E115" s="407">
        <f>AVERAGE(E108:E113)</f>
        <v>144.41567307507745</v>
      </c>
      <c r="F115" s="408">
        <f>AVERAGE(F108:F113)</f>
        <v>0.9627711538338497</v>
      </c>
    </row>
    <row r="116" spans="1:10" ht="27" customHeight="1" thickBot="1" x14ac:dyDescent="0.45">
      <c r="A116" s="284" t="s">
        <v>103</v>
      </c>
      <c r="B116" s="296">
        <f>(B115/B114)*(B113/B112)*(B111/B110)*(B109/B108)*B107</f>
        <v>900</v>
      </c>
      <c r="C116" s="409"/>
      <c r="D116" s="268" t="s">
        <v>84</v>
      </c>
      <c r="E116" s="410">
        <f>STDEV(E108:E113)/E115</f>
        <v>1.648956674753526E-2</v>
      </c>
      <c r="F116" s="410">
        <f>STDEV(F108:F113)/F115</f>
        <v>1.6489566747535263E-2</v>
      </c>
      <c r="I116" s="257"/>
    </row>
    <row r="117" spans="1:10" ht="27" customHeight="1" thickBot="1" x14ac:dyDescent="0.45">
      <c r="A117" s="654" t="s">
        <v>78</v>
      </c>
      <c r="B117" s="655"/>
      <c r="C117" s="411"/>
      <c r="D117" s="412" t="s">
        <v>20</v>
      </c>
      <c r="E117" s="413">
        <f>COUNT(E108:E113)</f>
        <v>6</v>
      </c>
      <c r="F117" s="413">
        <f>COUNT(F108:F113)</f>
        <v>6</v>
      </c>
      <c r="I117" s="257"/>
      <c r="J117" s="389"/>
    </row>
    <row r="118" spans="1:10" ht="19.5" customHeight="1" thickBot="1" x14ac:dyDescent="0.35">
      <c r="A118" s="656"/>
      <c r="B118" s="657"/>
      <c r="C118" s="257"/>
      <c r="D118" s="257"/>
      <c r="E118" s="257"/>
      <c r="F118" s="314"/>
      <c r="G118" s="257"/>
      <c r="H118" s="257"/>
      <c r="I118" s="257"/>
    </row>
    <row r="119" spans="1:10" ht="18.75" x14ac:dyDescent="0.3">
      <c r="A119" s="414"/>
      <c r="B119" s="280"/>
      <c r="C119" s="257"/>
      <c r="D119" s="257"/>
      <c r="E119" s="257"/>
      <c r="F119" s="314"/>
      <c r="G119" s="257"/>
      <c r="H119" s="257"/>
      <c r="I119" s="257"/>
    </row>
    <row r="120" spans="1:10" ht="26.25" customHeight="1" x14ac:dyDescent="0.4">
      <c r="A120" s="267" t="s">
        <v>106</v>
      </c>
      <c r="B120" s="268" t="s">
        <v>123</v>
      </c>
      <c r="C120" s="670" t="str">
        <f>B20</f>
        <v xml:space="preserve">Rifampicin, Isoniazid, Pyrazinamide 
</v>
      </c>
      <c r="D120" s="670"/>
      <c r="E120" s="257" t="s">
        <v>124</v>
      </c>
      <c r="F120" s="257"/>
      <c r="G120" s="365">
        <f>F115</f>
        <v>0.9627711538338497</v>
      </c>
      <c r="H120" s="257"/>
      <c r="I120" s="257"/>
    </row>
    <row r="121" spans="1:10" ht="19.5" customHeight="1" thickBot="1" x14ac:dyDescent="0.35">
      <c r="A121" s="415"/>
      <c r="B121" s="415"/>
      <c r="C121" s="416"/>
      <c r="D121" s="416"/>
      <c r="E121" s="416"/>
      <c r="F121" s="416"/>
      <c r="G121" s="416"/>
      <c r="H121" s="416"/>
    </row>
    <row r="122" spans="1:10" ht="18.75" x14ac:dyDescent="0.3">
      <c r="B122" s="673" t="s">
        <v>26</v>
      </c>
      <c r="C122" s="673"/>
      <c r="E122" s="368" t="s">
        <v>27</v>
      </c>
      <c r="F122" s="417"/>
      <c r="G122" s="673" t="s">
        <v>28</v>
      </c>
      <c r="H122" s="673"/>
    </row>
    <row r="123" spans="1:10" ht="69.95" customHeight="1" x14ac:dyDescent="0.3">
      <c r="A123" s="267" t="s">
        <v>29</v>
      </c>
      <c r="B123" s="418"/>
      <c r="C123" s="418"/>
      <c r="E123" s="418"/>
      <c r="F123" s="257"/>
      <c r="G123" s="418"/>
      <c r="H123" s="418"/>
    </row>
    <row r="124" spans="1:10" ht="69.95" customHeight="1" x14ac:dyDescent="0.3">
      <c r="A124" s="267" t="s">
        <v>30</v>
      </c>
      <c r="B124" s="419"/>
      <c r="C124" s="419"/>
      <c r="E124" s="419"/>
      <c r="F124" s="257"/>
      <c r="G124" s="420"/>
      <c r="H124" s="420"/>
    </row>
    <row r="125" spans="1:10" ht="18.75" x14ac:dyDescent="0.3">
      <c r="A125" s="314"/>
      <c r="B125" s="314"/>
      <c r="C125" s="314"/>
      <c r="D125" s="314"/>
      <c r="E125" s="314"/>
      <c r="F125" s="316"/>
      <c r="G125" s="314"/>
      <c r="H125" s="314"/>
      <c r="I125" s="257"/>
    </row>
    <row r="126" spans="1:10" ht="18.75" x14ac:dyDescent="0.3">
      <c r="A126" s="314"/>
      <c r="B126" s="314"/>
      <c r="C126" s="314"/>
      <c r="D126" s="314"/>
      <c r="E126" s="314"/>
      <c r="F126" s="316"/>
      <c r="G126" s="314"/>
      <c r="H126" s="314"/>
      <c r="I126" s="257"/>
    </row>
    <row r="127" spans="1:10" ht="18.75" x14ac:dyDescent="0.3">
      <c r="A127" s="314"/>
      <c r="B127" s="314"/>
      <c r="C127" s="314"/>
      <c r="D127" s="314"/>
      <c r="E127" s="314"/>
      <c r="F127" s="316"/>
      <c r="G127" s="314"/>
      <c r="H127" s="314"/>
      <c r="I127" s="257"/>
    </row>
    <row r="128" spans="1:10" ht="18.75" x14ac:dyDescent="0.3">
      <c r="A128" s="314"/>
      <c r="B128" s="314"/>
      <c r="C128" s="314"/>
      <c r="D128" s="314"/>
      <c r="E128" s="314"/>
      <c r="F128" s="316"/>
      <c r="G128" s="314"/>
      <c r="H128" s="314"/>
      <c r="I128" s="257"/>
    </row>
    <row r="129" spans="1:9" ht="18.75" x14ac:dyDescent="0.3">
      <c r="A129" s="314"/>
      <c r="B129" s="314"/>
      <c r="C129" s="314"/>
      <c r="D129" s="314"/>
      <c r="E129" s="314"/>
      <c r="F129" s="316"/>
      <c r="G129" s="314"/>
      <c r="H129" s="314"/>
      <c r="I129" s="257"/>
    </row>
    <row r="130" spans="1:9" ht="18.75" x14ac:dyDescent="0.3">
      <c r="A130" s="314"/>
      <c r="B130" s="314"/>
      <c r="C130" s="314"/>
      <c r="D130" s="314"/>
      <c r="E130" s="314"/>
      <c r="F130" s="316"/>
      <c r="G130" s="314"/>
      <c r="H130" s="314"/>
      <c r="I130" s="257"/>
    </row>
    <row r="131" spans="1:9" ht="18.75" x14ac:dyDescent="0.3">
      <c r="A131" s="314"/>
      <c r="B131" s="314"/>
      <c r="C131" s="314"/>
      <c r="D131" s="314"/>
      <c r="E131" s="314"/>
      <c r="F131" s="316"/>
      <c r="G131" s="314"/>
      <c r="H131" s="314"/>
      <c r="I131" s="257"/>
    </row>
    <row r="132" spans="1:9" ht="18.75" x14ac:dyDescent="0.3">
      <c r="A132" s="314"/>
      <c r="B132" s="314"/>
      <c r="C132" s="314"/>
      <c r="D132" s="314"/>
      <c r="E132" s="314"/>
      <c r="F132" s="316"/>
      <c r="G132" s="314"/>
      <c r="H132" s="314"/>
      <c r="I132" s="257"/>
    </row>
    <row r="133" spans="1:9" ht="18.75" x14ac:dyDescent="0.3">
      <c r="A133" s="314"/>
      <c r="B133" s="314"/>
      <c r="C133" s="314"/>
      <c r="D133" s="314"/>
      <c r="E133" s="314"/>
      <c r="F133" s="316"/>
      <c r="G133" s="314"/>
      <c r="H133" s="314"/>
      <c r="I133" s="257"/>
    </row>
    <row r="250" spans="1:1" x14ac:dyDescent="0.25">
      <c r="A250" s="256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01" zoomScale="60" zoomScaleNormal="40" zoomScalePageLayoutView="55" workbookViewId="0">
      <selection activeCell="F50" sqref="F50"/>
    </sheetView>
  </sheetViews>
  <sheetFormatPr defaultColWidth="9.140625" defaultRowHeight="13.5" x14ac:dyDescent="0.25"/>
  <cols>
    <col min="1" max="1" width="55.42578125" style="421" customWidth="1"/>
    <col min="2" max="2" width="33.7109375" style="421" customWidth="1"/>
    <col min="3" max="3" width="42.28515625" style="421" customWidth="1"/>
    <col min="4" max="4" width="30.5703125" style="421" customWidth="1"/>
    <col min="5" max="5" width="39.85546875" style="421" customWidth="1"/>
    <col min="6" max="6" width="30.7109375" style="421" customWidth="1"/>
    <col min="7" max="7" width="39.85546875" style="421" customWidth="1"/>
    <col min="8" max="8" width="30" style="421" customWidth="1"/>
    <col min="9" max="9" width="30.28515625" style="421" hidden="1" customWidth="1"/>
    <col min="10" max="10" width="30.42578125" style="421" customWidth="1"/>
    <col min="11" max="11" width="21.28515625" style="421" customWidth="1"/>
    <col min="12" max="12" width="9.140625" style="421"/>
    <col min="13" max="16384" width="9.140625" style="423"/>
  </cols>
  <sheetData>
    <row r="1" spans="1:9" ht="18.75" customHeight="1" x14ac:dyDescent="0.25">
      <c r="A1" s="677" t="s">
        <v>45</v>
      </c>
      <c r="B1" s="677"/>
      <c r="C1" s="677"/>
      <c r="D1" s="677"/>
      <c r="E1" s="677"/>
      <c r="F1" s="677"/>
      <c r="G1" s="677"/>
      <c r="H1" s="677"/>
      <c r="I1" s="677"/>
    </row>
    <row r="2" spans="1:9" ht="18.75" customHeight="1" x14ac:dyDescent="0.25">
      <c r="A2" s="677"/>
      <c r="B2" s="677"/>
      <c r="C2" s="677"/>
      <c r="D2" s="677"/>
      <c r="E2" s="677"/>
      <c r="F2" s="677"/>
      <c r="G2" s="677"/>
      <c r="H2" s="677"/>
      <c r="I2" s="677"/>
    </row>
    <row r="3" spans="1:9" ht="18.75" customHeight="1" x14ac:dyDescent="0.25">
      <c r="A3" s="677"/>
      <c r="B3" s="677"/>
      <c r="C3" s="677"/>
      <c r="D3" s="677"/>
      <c r="E3" s="677"/>
      <c r="F3" s="677"/>
      <c r="G3" s="677"/>
      <c r="H3" s="677"/>
      <c r="I3" s="677"/>
    </row>
    <row r="4" spans="1:9" ht="18.75" customHeight="1" x14ac:dyDescent="0.25">
      <c r="A4" s="677"/>
      <c r="B4" s="677"/>
      <c r="C4" s="677"/>
      <c r="D4" s="677"/>
      <c r="E4" s="677"/>
      <c r="F4" s="677"/>
      <c r="G4" s="677"/>
      <c r="H4" s="677"/>
      <c r="I4" s="677"/>
    </row>
    <row r="5" spans="1:9" ht="18.75" customHeight="1" x14ac:dyDescent="0.25">
      <c r="A5" s="677"/>
      <c r="B5" s="677"/>
      <c r="C5" s="677"/>
      <c r="D5" s="677"/>
      <c r="E5" s="677"/>
      <c r="F5" s="677"/>
      <c r="G5" s="677"/>
      <c r="H5" s="677"/>
      <c r="I5" s="677"/>
    </row>
    <row r="6" spans="1:9" ht="18.75" customHeight="1" x14ac:dyDescent="0.25">
      <c r="A6" s="677"/>
      <c r="B6" s="677"/>
      <c r="C6" s="677"/>
      <c r="D6" s="677"/>
      <c r="E6" s="677"/>
      <c r="F6" s="677"/>
      <c r="G6" s="677"/>
      <c r="H6" s="677"/>
      <c r="I6" s="677"/>
    </row>
    <row r="7" spans="1:9" ht="18.75" customHeight="1" x14ac:dyDescent="0.25">
      <c r="A7" s="677"/>
      <c r="B7" s="677"/>
      <c r="C7" s="677"/>
      <c r="D7" s="677"/>
      <c r="E7" s="677"/>
      <c r="F7" s="677"/>
      <c r="G7" s="677"/>
      <c r="H7" s="677"/>
      <c r="I7" s="677"/>
    </row>
    <row r="8" spans="1:9" x14ac:dyDescent="0.25">
      <c r="A8" s="678" t="s">
        <v>46</v>
      </c>
      <c r="B8" s="678"/>
      <c r="C8" s="678"/>
      <c r="D8" s="678"/>
      <c r="E8" s="678"/>
      <c r="F8" s="678"/>
      <c r="G8" s="678"/>
      <c r="H8" s="678"/>
      <c r="I8" s="678"/>
    </row>
    <row r="9" spans="1:9" x14ac:dyDescent="0.25">
      <c r="A9" s="678"/>
      <c r="B9" s="678"/>
      <c r="C9" s="678"/>
      <c r="D9" s="678"/>
      <c r="E9" s="678"/>
      <c r="F9" s="678"/>
      <c r="G9" s="678"/>
      <c r="H9" s="678"/>
      <c r="I9" s="678"/>
    </row>
    <row r="10" spans="1:9" x14ac:dyDescent="0.25">
      <c r="A10" s="678"/>
      <c r="B10" s="678"/>
      <c r="C10" s="678"/>
      <c r="D10" s="678"/>
      <c r="E10" s="678"/>
      <c r="F10" s="678"/>
      <c r="G10" s="678"/>
      <c r="H10" s="678"/>
      <c r="I10" s="678"/>
    </row>
    <row r="11" spans="1:9" x14ac:dyDescent="0.25">
      <c r="A11" s="678"/>
      <c r="B11" s="678"/>
      <c r="C11" s="678"/>
      <c r="D11" s="678"/>
      <c r="E11" s="678"/>
      <c r="F11" s="678"/>
      <c r="G11" s="678"/>
      <c r="H11" s="678"/>
      <c r="I11" s="678"/>
    </row>
    <row r="12" spans="1:9" x14ac:dyDescent="0.25">
      <c r="A12" s="678"/>
      <c r="B12" s="678"/>
      <c r="C12" s="678"/>
      <c r="D12" s="678"/>
      <c r="E12" s="678"/>
      <c r="F12" s="678"/>
      <c r="G12" s="678"/>
      <c r="H12" s="678"/>
      <c r="I12" s="678"/>
    </row>
    <row r="13" spans="1:9" x14ac:dyDescent="0.25">
      <c r="A13" s="678"/>
      <c r="B13" s="678"/>
      <c r="C13" s="678"/>
      <c r="D13" s="678"/>
      <c r="E13" s="678"/>
      <c r="F13" s="678"/>
      <c r="G13" s="678"/>
      <c r="H13" s="678"/>
      <c r="I13" s="678"/>
    </row>
    <row r="14" spans="1:9" x14ac:dyDescent="0.25">
      <c r="A14" s="678"/>
      <c r="B14" s="678"/>
      <c r="C14" s="678"/>
      <c r="D14" s="678"/>
      <c r="E14" s="678"/>
      <c r="F14" s="678"/>
      <c r="G14" s="678"/>
      <c r="H14" s="678"/>
      <c r="I14" s="678"/>
    </row>
    <row r="15" spans="1:9" ht="19.5" customHeight="1" thickBot="1" x14ac:dyDescent="0.35">
      <c r="A15" s="422"/>
    </row>
    <row r="16" spans="1:9" ht="19.5" customHeight="1" thickBot="1" x14ac:dyDescent="0.35">
      <c r="A16" s="679" t="s">
        <v>31</v>
      </c>
      <c r="B16" s="680"/>
      <c r="C16" s="680"/>
      <c r="D16" s="680"/>
      <c r="E16" s="680"/>
      <c r="F16" s="680"/>
      <c r="G16" s="680"/>
      <c r="H16" s="681"/>
    </row>
    <row r="17" spans="1:14" ht="20.25" customHeight="1" x14ac:dyDescent="0.25">
      <c r="A17" s="682" t="s">
        <v>47</v>
      </c>
      <c r="B17" s="682"/>
      <c r="C17" s="682"/>
      <c r="D17" s="682"/>
      <c r="E17" s="682"/>
      <c r="F17" s="682"/>
      <c r="G17" s="682"/>
      <c r="H17" s="682"/>
    </row>
    <row r="18" spans="1:14" ht="26.25" customHeight="1" x14ac:dyDescent="0.4">
      <c r="A18" s="424" t="s">
        <v>33</v>
      </c>
      <c r="B18" s="683" t="s">
        <v>5</v>
      </c>
      <c r="C18" s="683"/>
      <c r="D18" s="425"/>
      <c r="E18" s="426"/>
      <c r="F18" s="427"/>
      <c r="G18" s="427"/>
      <c r="H18" s="427"/>
    </row>
    <row r="19" spans="1:14" ht="26.25" customHeight="1" x14ac:dyDescent="0.4">
      <c r="A19" s="424" t="s">
        <v>34</v>
      </c>
      <c r="B19" s="428" t="s">
        <v>7</v>
      </c>
      <c r="C19" s="427">
        <v>29</v>
      </c>
      <c r="D19" s="427"/>
      <c r="E19" s="427"/>
      <c r="F19" s="427"/>
      <c r="G19" s="427"/>
      <c r="H19" s="427"/>
    </row>
    <row r="20" spans="1:14" ht="26.25" customHeight="1" x14ac:dyDescent="0.4">
      <c r="A20" s="424" t="s">
        <v>35</v>
      </c>
      <c r="B20" s="684" t="s">
        <v>125</v>
      </c>
      <c r="C20" s="684"/>
      <c r="D20" s="427"/>
      <c r="E20" s="427"/>
      <c r="F20" s="427"/>
      <c r="G20" s="427"/>
      <c r="H20" s="427"/>
    </row>
    <row r="21" spans="1:14" ht="26.25" customHeight="1" x14ac:dyDescent="0.4">
      <c r="A21" s="424" t="s">
        <v>36</v>
      </c>
      <c r="B21" s="684" t="s">
        <v>126</v>
      </c>
      <c r="C21" s="684"/>
      <c r="D21" s="684"/>
      <c r="E21" s="684"/>
      <c r="F21" s="684"/>
      <c r="G21" s="684"/>
      <c r="H21" s="684"/>
      <c r="I21" s="429"/>
    </row>
    <row r="22" spans="1:14" ht="26.25" customHeight="1" x14ac:dyDescent="0.4">
      <c r="A22" s="424" t="s">
        <v>37</v>
      </c>
      <c r="B22" s="101">
        <v>42531.493668981479</v>
      </c>
      <c r="C22" s="427"/>
      <c r="D22" s="427"/>
      <c r="E22" s="427"/>
      <c r="F22" s="427"/>
      <c r="G22" s="427"/>
      <c r="H22" s="427"/>
    </row>
    <row r="23" spans="1:14" ht="26.25" customHeight="1" x14ac:dyDescent="0.4">
      <c r="A23" s="424" t="s">
        <v>38</v>
      </c>
      <c r="B23" s="101">
        <v>42535.41033564815</v>
      </c>
      <c r="C23" s="427"/>
      <c r="D23" s="427"/>
      <c r="E23" s="427"/>
      <c r="F23" s="427"/>
      <c r="G23" s="427"/>
      <c r="H23" s="427"/>
    </row>
    <row r="24" spans="1:14" ht="18.75" x14ac:dyDescent="0.3">
      <c r="A24" s="424"/>
      <c r="B24" s="430"/>
    </row>
    <row r="25" spans="1:14" ht="18.75" x14ac:dyDescent="0.3">
      <c r="A25" s="431" t="s">
        <v>1</v>
      </c>
      <c r="B25" s="430"/>
    </row>
    <row r="26" spans="1:14" ht="26.25" customHeight="1" x14ac:dyDescent="0.4">
      <c r="A26" s="432" t="s">
        <v>4</v>
      </c>
      <c r="B26" s="683" t="s">
        <v>131</v>
      </c>
      <c r="C26" s="683"/>
    </row>
    <row r="27" spans="1:14" ht="26.25" customHeight="1" x14ac:dyDescent="0.4">
      <c r="A27" s="433" t="s">
        <v>48</v>
      </c>
      <c r="B27" s="685" t="s">
        <v>132</v>
      </c>
      <c r="C27" s="685"/>
    </row>
    <row r="28" spans="1:14" ht="27" customHeight="1" thickBot="1" x14ac:dyDescent="0.45">
      <c r="A28" s="433" t="s">
        <v>6</v>
      </c>
      <c r="B28" s="434">
        <v>99.6</v>
      </c>
    </row>
    <row r="29" spans="1:14" s="436" customFormat="1" ht="27" customHeight="1" thickBot="1" x14ac:dyDescent="0.45">
      <c r="A29" s="433" t="s">
        <v>49</v>
      </c>
      <c r="B29" s="435">
        <v>0</v>
      </c>
      <c r="C29" s="686" t="s">
        <v>50</v>
      </c>
      <c r="D29" s="687"/>
      <c r="E29" s="687"/>
      <c r="F29" s="687"/>
      <c r="G29" s="688"/>
      <c r="I29" s="437"/>
      <c r="J29" s="437"/>
      <c r="K29" s="437"/>
      <c r="L29" s="437"/>
    </row>
    <row r="30" spans="1:14" s="436" customFormat="1" ht="19.5" customHeight="1" thickBot="1" x14ac:dyDescent="0.35">
      <c r="A30" s="433" t="s">
        <v>51</v>
      </c>
      <c r="B30" s="438">
        <f>B28-B29</f>
        <v>99.6</v>
      </c>
      <c r="C30" s="439"/>
      <c r="D30" s="439"/>
      <c r="E30" s="439"/>
      <c r="F30" s="439"/>
      <c r="G30" s="440"/>
      <c r="I30" s="437"/>
      <c r="J30" s="437"/>
      <c r="K30" s="437"/>
      <c r="L30" s="437"/>
    </row>
    <row r="31" spans="1:14" s="436" customFormat="1" ht="27" customHeight="1" thickBot="1" x14ac:dyDescent="0.45">
      <c r="A31" s="433" t="s">
        <v>52</v>
      </c>
      <c r="B31" s="441">
        <v>1</v>
      </c>
      <c r="C31" s="674" t="s">
        <v>53</v>
      </c>
      <c r="D31" s="675"/>
      <c r="E31" s="675"/>
      <c r="F31" s="675"/>
      <c r="G31" s="675"/>
      <c r="H31" s="676"/>
      <c r="I31" s="437"/>
      <c r="J31" s="437"/>
      <c r="K31" s="437"/>
      <c r="L31" s="437"/>
    </row>
    <row r="32" spans="1:14" s="436" customFormat="1" ht="27" customHeight="1" thickBot="1" x14ac:dyDescent="0.45">
      <c r="A32" s="433" t="s">
        <v>54</v>
      </c>
      <c r="B32" s="441">
        <v>1</v>
      </c>
      <c r="C32" s="674" t="s">
        <v>55</v>
      </c>
      <c r="D32" s="675"/>
      <c r="E32" s="675"/>
      <c r="F32" s="675"/>
      <c r="G32" s="675"/>
      <c r="H32" s="676"/>
      <c r="I32" s="437"/>
      <c r="J32" s="437"/>
      <c r="K32" s="437"/>
      <c r="L32" s="442"/>
      <c r="M32" s="442"/>
      <c r="N32" s="443"/>
    </row>
    <row r="33" spans="1:14" s="436" customFormat="1" ht="17.25" customHeight="1" x14ac:dyDescent="0.3">
      <c r="A33" s="433"/>
      <c r="B33" s="444"/>
      <c r="C33" s="445"/>
      <c r="D33" s="445"/>
      <c r="E33" s="445"/>
      <c r="F33" s="445"/>
      <c r="G33" s="445"/>
      <c r="H33" s="445"/>
      <c r="I33" s="437"/>
      <c r="J33" s="437"/>
      <c r="K33" s="437"/>
      <c r="L33" s="442"/>
      <c r="M33" s="442"/>
      <c r="N33" s="443"/>
    </row>
    <row r="34" spans="1:14" s="436" customFormat="1" ht="18.75" x14ac:dyDescent="0.3">
      <c r="A34" s="433" t="s">
        <v>56</v>
      </c>
      <c r="B34" s="446">
        <f>B31/B32</f>
        <v>1</v>
      </c>
      <c r="C34" s="422" t="s">
        <v>57</v>
      </c>
      <c r="D34" s="422"/>
      <c r="E34" s="422"/>
      <c r="F34" s="422"/>
      <c r="G34" s="422"/>
      <c r="I34" s="437"/>
      <c r="J34" s="437"/>
      <c r="K34" s="437"/>
      <c r="L34" s="442"/>
      <c r="M34" s="442"/>
      <c r="N34" s="443"/>
    </row>
    <row r="35" spans="1:14" s="436" customFormat="1" ht="19.5" customHeight="1" thickBot="1" x14ac:dyDescent="0.35">
      <c r="A35" s="433"/>
      <c r="B35" s="438"/>
      <c r="G35" s="422"/>
      <c r="I35" s="437"/>
      <c r="J35" s="437"/>
      <c r="K35" s="437"/>
      <c r="L35" s="442"/>
      <c r="M35" s="442"/>
      <c r="N35" s="443"/>
    </row>
    <row r="36" spans="1:14" s="436" customFormat="1" ht="27" customHeight="1" thickBot="1" x14ac:dyDescent="0.45">
      <c r="A36" s="447" t="s">
        <v>58</v>
      </c>
      <c r="B36" s="448">
        <v>100</v>
      </c>
      <c r="C36" s="422"/>
      <c r="D36" s="689" t="s">
        <v>59</v>
      </c>
      <c r="E36" s="690"/>
      <c r="F36" s="689" t="s">
        <v>60</v>
      </c>
      <c r="G36" s="691"/>
      <c r="J36" s="437"/>
      <c r="K36" s="437"/>
      <c r="L36" s="442"/>
      <c r="M36" s="442"/>
      <c r="N36" s="443"/>
    </row>
    <row r="37" spans="1:14" s="436" customFormat="1" ht="27" customHeight="1" thickBot="1" x14ac:dyDescent="0.45">
      <c r="A37" s="449" t="s">
        <v>61</v>
      </c>
      <c r="B37" s="450">
        <v>1</v>
      </c>
      <c r="C37" s="451" t="s">
        <v>62</v>
      </c>
      <c r="D37" s="452" t="s">
        <v>63</v>
      </c>
      <c r="E37" s="453" t="s">
        <v>64</v>
      </c>
      <c r="F37" s="452" t="s">
        <v>63</v>
      </c>
      <c r="G37" s="454" t="s">
        <v>64</v>
      </c>
      <c r="I37" s="455" t="s">
        <v>65</v>
      </c>
      <c r="J37" s="437"/>
      <c r="K37" s="437"/>
      <c r="L37" s="442"/>
      <c r="M37" s="442"/>
      <c r="N37" s="443"/>
    </row>
    <row r="38" spans="1:14" s="436" customFormat="1" ht="26.25" customHeight="1" x14ac:dyDescent="0.4">
      <c r="A38" s="449" t="s">
        <v>66</v>
      </c>
      <c r="B38" s="450">
        <v>1</v>
      </c>
      <c r="C38" s="456">
        <v>1</v>
      </c>
      <c r="D38" s="457">
        <v>7530658</v>
      </c>
      <c r="E38" s="458">
        <f>IF(ISBLANK(D38),"-",$D$48/$D$45*D38)</f>
        <v>6811623.068851985</v>
      </c>
      <c r="F38" s="457">
        <v>6643464</v>
      </c>
      <c r="G38" s="459">
        <f>IF(ISBLANK(F38),"-",$D$48/$F$45*F38)</f>
        <v>6819317.1407675426</v>
      </c>
      <c r="I38" s="460"/>
      <c r="J38" s="437"/>
      <c r="K38" s="437"/>
      <c r="L38" s="442"/>
      <c r="M38" s="442"/>
      <c r="N38" s="443"/>
    </row>
    <row r="39" spans="1:14" s="436" customFormat="1" ht="26.25" customHeight="1" x14ac:dyDescent="0.4">
      <c r="A39" s="449" t="s">
        <v>67</v>
      </c>
      <c r="B39" s="450">
        <v>1</v>
      </c>
      <c r="C39" s="461">
        <v>2</v>
      </c>
      <c r="D39" s="462">
        <v>7502031</v>
      </c>
      <c r="E39" s="463">
        <f>IF(ISBLANK(D39),"-",$D$48/$D$45*D39)</f>
        <v>6785729.4041028991</v>
      </c>
      <c r="F39" s="462">
        <v>6624591</v>
      </c>
      <c r="G39" s="464">
        <f>IF(ISBLANK(F39),"-",$D$48/$F$45*F39)</f>
        <v>6799944.5706147263</v>
      </c>
      <c r="I39" s="692">
        <f>ABS((F43/D43*D42)-F42)/D42</f>
        <v>1.2652525095433311E-3</v>
      </c>
      <c r="J39" s="437"/>
      <c r="K39" s="437"/>
      <c r="L39" s="442"/>
      <c r="M39" s="442"/>
      <c r="N39" s="443"/>
    </row>
    <row r="40" spans="1:14" ht="26.25" customHeight="1" x14ac:dyDescent="0.4">
      <c r="A40" s="449" t="s">
        <v>68</v>
      </c>
      <c r="B40" s="450">
        <v>1</v>
      </c>
      <c r="C40" s="461">
        <v>3</v>
      </c>
      <c r="D40" s="462">
        <v>7472903</v>
      </c>
      <c r="E40" s="463">
        <f>IF(ISBLANK(D40),"-",$D$48/$D$45*D40)</f>
        <v>6759382.5753464317</v>
      </c>
      <c r="F40" s="462">
        <v>6592206</v>
      </c>
      <c r="G40" s="464">
        <f>IF(ISBLANK(F40),"-",$D$48/$F$45*F40)</f>
        <v>6766702.3365025595</v>
      </c>
      <c r="I40" s="692"/>
      <c r="L40" s="442"/>
      <c r="M40" s="442"/>
      <c r="N40" s="422"/>
    </row>
    <row r="41" spans="1:14" ht="27" customHeight="1" thickBot="1" x14ac:dyDescent="0.45">
      <c r="A41" s="449" t="s">
        <v>69</v>
      </c>
      <c r="B41" s="450">
        <v>1</v>
      </c>
      <c r="C41" s="465">
        <v>4</v>
      </c>
      <c r="D41" s="466"/>
      <c r="E41" s="467" t="str">
        <f>IF(ISBLANK(D41),"-",$D$48/$D$45*D41)</f>
        <v>-</v>
      </c>
      <c r="F41" s="466"/>
      <c r="G41" s="468" t="str">
        <f>IF(ISBLANK(F41),"-",$D$48/$F$45*F41)</f>
        <v>-</v>
      </c>
      <c r="I41" s="469"/>
      <c r="L41" s="442"/>
      <c r="M41" s="442"/>
      <c r="N41" s="422"/>
    </row>
    <row r="42" spans="1:14" ht="27" customHeight="1" thickBot="1" x14ac:dyDescent="0.45">
      <c r="A42" s="449" t="s">
        <v>70</v>
      </c>
      <c r="B42" s="450">
        <v>1</v>
      </c>
      <c r="C42" s="470" t="s">
        <v>71</v>
      </c>
      <c r="D42" s="471">
        <f>AVERAGE(D38:D41)</f>
        <v>7501864</v>
      </c>
      <c r="E42" s="472">
        <f>AVERAGE(E38:E41)</f>
        <v>6785578.3494337723</v>
      </c>
      <c r="F42" s="471">
        <f>AVERAGE(F38:F41)</f>
        <v>6620087</v>
      </c>
      <c r="G42" s="473">
        <f>AVERAGE(G38:G41)</f>
        <v>6795321.3492949428</v>
      </c>
      <c r="H42" s="474"/>
    </row>
    <row r="43" spans="1:14" ht="26.25" customHeight="1" x14ac:dyDescent="0.4">
      <c r="A43" s="449" t="s">
        <v>72</v>
      </c>
      <c r="B43" s="450">
        <v>1</v>
      </c>
      <c r="C43" s="475" t="s">
        <v>73</v>
      </c>
      <c r="D43" s="476">
        <v>17.760000000000002</v>
      </c>
      <c r="E43" s="422"/>
      <c r="F43" s="476">
        <v>15.65</v>
      </c>
      <c r="H43" s="474"/>
    </row>
    <row r="44" spans="1:14" ht="26.25" customHeight="1" x14ac:dyDescent="0.4">
      <c r="A44" s="449" t="s">
        <v>74</v>
      </c>
      <c r="B44" s="450">
        <v>1</v>
      </c>
      <c r="C44" s="477" t="s">
        <v>75</v>
      </c>
      <c r="D44" s="478">
        <f>D43*$B$34</f>
        <v>17.760000000000002</v>
      </c>
      <c r="E44" s="479"/>
      <c r="F44" s="478">
        <f>F43*$B$34</f>
        <v>15.65</v>
      </c>
      <c r="H44" s="474"/>
    </row>
    <row r="45" spans="1:14" ht="19.5" customHeight="1" thickBot="1" x14ac:dyDescent="0.35">
      <c r="A45" s="449" t="s">
        <v>76</v>
      </c>
      <c r="B45" s="461">
        <f>(B44/B43)*(B42/B41)*(B40/B39)*(B38/B37)*B36</f>
        <v>100</v>
      </c>
      <c r="C45" s="477" t="s">
        <v>77</v>
      </c>
      <c r="D45" s="480">
        <f>D44*$B$30/100</f>
        <v>17.688959999999998</v>
      </c>
      <c r="E45" s="481"/>
      <c r="F45" s="480">
        <f>F44*$B$30/100</f>
        <v>15.587400000000001</v>
      </c>
      <c r="H45" s="474"/>
    </row>
    <row r="46" spans="1:14" ht="19.5" customHeight="1" thickBot="1" x14ac:dyDescent="0.35">
      <c r="A46" s="693" t="s">
        <v>78</v>
      </c>
      <c r="B46" s="694"/>
      <c r="C46" s="477" t="s">
        <v>79</v>
      </c>
      <c r="D46" s="482">
        <f>D45/$B$45</f>
        <v>0.17688959999999998</v>
      </c>
      <c r="E46" s="483"/>
      <c r="F46" s="484">
        <f>F45/$B$45</f>
        <v>0.15587400000000001</v>
      </c>
      <c r="H46" s="474"/>
    </row>
    <row r="47" spans="1:14" ht="27" customHeight="1" thickBot="1" x14ac:dyDescent="0.45">
      <c r="A47" s="695"/>
      <c r="B47" s="696"/>
      <c r="C47" s="485" t="s">
        <v>80</v>
      </c>
      <c r="D47" s="486">
        <v>0.16</v>
      </c>
      <c r="E47" s="487"/>
      <c r="F47" s="483"/>
      <c r="H47" s="474"/>
    </row>
    <row r="48" spans="1:14" ht="18.75" x14ac:dyDescent="0.3">
      <c r="C48" s="488" t="s">
        <v>81</v>
      </c>
      <c r="D48" s="480">
        <f>D47*$B$45</f>
        <v>16</v>
      </c>
      <c r="F48" s="489"/>
      <c r="H48" s="474"/>
    </row>
    <row r="49" spans="1:12" ht="19.5" customHeight="1" thickBot="1" x14ac:dyDescent="0.35">
      <c r="C49" s="490" t="s">
        <v>82</v>
      </c>
      <c r="D49" s="491">
        <f>D48/B34</f>
        <v>16</v>
      </c>
      <c r="F49" s="489"/>
      <c r="H49" s="474"/>
    </row>
    <row r="50" spans="1:12" ht="18.75" x14ac:dyDescent="0.3">
      <c r="C50" s="447" t="s">
        <v>83</v>
      </c>
      <c r="D50" s="492">
        <f>AVERAGE(E38:E41,G38:G41)</f>
        <v>6790449.849364358</v>
      </c>
      <c r="F50" s="493"/>
      <c r="H50" s="474"/>
    </row>
    <row r="51" spans="1:12" ht="18.75" x14ac:dyDescent="0.3">
      <c r="C51" s="449" t="s">
        <v>84</v>
      </c>
      <c r="D51" s="494">
        <f>STDEV(E38:E41,G38:G41)/D50</f>
        <v>3.5607712850835934E-3</v>
      </c>
      <c r="F51" s="493"/>
      <c r="H51" s="474"/>
    </row>
    <row r="52" spans="1:12" ht="19.5" customHeight="1" thickBot="1" x14ac:dyDescent="0.35">
      <c r="C52" s="495" t="s">
        <v>20</v>
      </c>
      <c r="D52" s="496">
        <f>COUNT(E38:E41,G38:G41)</f>
        <v>6</v>
      </c>
      <c r="F52" s="493"/>
    </row>
    <row r="54" spans="1:12" ht="18.75" x14ac:dyDescent="0.3">
      <c r="A54" s="497" t="s">
        <v>1</v>
      </c>
      <c r="B54" s="498" t="s">
        <v>85</v>
      </c>
    </row>
    <row r="55" spans="1:12" ht="18.75" x14ac:dyDescent="0.3">
      <c r="A55" s="422" t="s">
        <v>86</v>
      </c>
      <c r="B55" s="499" t="str">
        <f>B21</f>
        <v xml:space="preserve">Rifampicin 60mg, Isoniazid 30mg, Pyrazinamide 150mg 
</v>
      </c>
    </row>
    <row r="56" spans="1:12" ht="26.25" customHeight="1" x14ac:dyDescent="0.4">
      <c r="A56" s="499" t="s">
        <v>87</v>
      </c>
      <c r="B56" s="500">
        <v>60</v>
      </c>
      <c r="C56" s="422" t="str">
        <f>B20</f>
        <v xml:space="preserve">Rifampicin, Isoniazid, Pyrazinamide 
</v>
      </c>
      <c r="H56" s="479"/>
    </row>
    <row r="57" spans="1:12" ht="18.75" x14ac:dyDescent="0.3">
      <c r="A57" s="499" t="s">
        <v>88</v>
      </c>
      <c r="B57" s="501">
        <f>Uniformity!C46</f>
        <v>301.61950000000002</v>
      </c>
      <c r="H57" s="479"/>
    </row>
    <row r="58" spans="1:12" ht="19.5" customHeight="1" thickBot="1" x14ac:dyDescent="0.35">
      <c r="H58" s="479"/>
    </row>
    <row r="59" spans="1:12" s="436" customFormat="1" ht="27" customHeight="1" thickBot="1" x14ac:dyDescent="0.45">
      <c r="A59" s="447" t="s">
        <v>89</v>
      </c>
      <c r="B59" s="448">
        <v>100</v>
      </c>
      <c r="C59" s="422"/>
      <c r="D59" s="502" t="s">
        <v>90</v>
      </c>
      <c r="E59" s="503" t="s">
        <v>62</v>
      </c>
      <c r="F59" s="503" t="s">
        <v>63</v>
      </c>
      <c r="G59" s="503" t="s">
        <v>91</v>
      </c>
      <c r="H59" s="451" t="s">
        <v>92</v>
      </c>
      <c r="L59" s="437"/>
    </row>
    <row r="60" spans="1:12" s="436" customFormat="1" ht="26.25" customHeight="1" x14ac:dyDescent="0.4">
      <c r="A60" s="449" t="s">
        <v>93</v>
      </c>
      <c r="B60" s="450">
        <v>1</v>
      </c>
      <c r="C60" s="697" t="s">
        <v>94</v>
      </c>
      <c r="D60" s="700">
        <v>80.7</v>
      </c>
      <c r="E60" s="504">
        <v>1</v>
      </c>
      <c r="F60" s="505">
        <v>6623329</v>
      </c>
      <c r="G60" s="506">
        <f>IF(ISBLANK(F60),"-",(F60/$D$50*$D$47*$B$68)*($B$57/$D$60))</f>
        <v>58.328881120813755</v>
      </c>
      <c r="H60" s="507">
        <f t="shared" ref="H60:H71" si="0">IF(ISBLANK(F60),"-",G60/$B$56)</f>
        <v>0.97214801868022926</v>
      </c>
      <c r="L60" s="437"/>
    </row>
    <row r="61" spans="1:12" s="436" customFormat="1" ht="26.25" customHeight="1" x14ac:dyDescent="0.4">
      <c r="A61" s="449" t="s">
        <v>95</v>
      </c>
      <c r="B61" s="450">
        <v>1</v>
      </c>
      <c r="C61" s="698"/>
      <c r="D61" s="701"/>
      <c r="E61" s="508">
        <v>2</v>
      </c>
      <c r="F61" s="462">
        <v>6321513</v>
      </c>
      <c r="G61" s="509">
        <f>IF(ISBLANK(F61),"-",(F61/$D$50*$D$47*$B$68)*($B$57/$D$60))</f>
        <v>55.670914170303</v>
      </c>
      <c r="H61" s="510">
        <f t="shared" si="0"/>
        <v>0.92784856950505001</v>
      </c>
      <c r="L61" s="437"/>
    </row>
    <row r="62" spans="1:12" s="436" customFormat="1" ht="26.25" customHeight="1" x14ac:dyDescent="0.4">
      <c r="A62" s="449" t="s">
        <v>96</v>
      </c>
      <c r="B62" s="450">
        <v>1</v>
      </c>
      <c r="C62" s="698"/>
      <c r="D62" s="701"/>
      <c r="E62" s="508">
        <v>3</v>
      </c>
      <c r="F62" s="511"/>
      <c r="G62" s="509" t="str">
        <f>IF(ISBLANK(F62),"-",(F62/$D$50*$D$47*$B$68)*($B$57/$D$60))</f>
        <v>-</v>
      </c>
      <c r="H62" s="510" t="str">
        <f t="shared" si="0"/>
        <v>-</v>
      </c>
      <c r="L62" s="437"/>
    </row>
    <row r="63" spans="1:12" ht="27" customHeight="1" thickBot="1" x14ac:dyDescent="0.45">
      <c r="A63" s="449" t="s">
        <v>97</v>
      </c>
      <c r="B63" s="450">
        <v>1</v>
      </c>
      <c r="C63" s="699"/>
      <c r="D63" s="702"/>
      <c r="E63" s="512">
        <v>4</v>
      </c>
      <c r="F63" s="513"/>
      <c r="G63" s="509" t="str">
        <f>IF(ISBLANK(F63),"-",(F63/$D$50*$D$47*$B$68)*($B$57/$D$60))</f>
        <v>-</v>
      </c>
      <c r="H63" s="510" t="str">
        <f t="shared" si="0"/>
        <v>-</v>
      </c>
    </row>
    <row r="64" spans="1:12" ht="26.25" customHeight="1" x14ac:dyDescent="0.4">
      <c r="A64" s="449" t="s">
        <v>98</v>
      </c>
      <c r="B64" s="450">
        <v>1</v>
      </c>
      <c r="C64" s="697" t="s">
        <v>99</v>
      </c>
      <c r="D64" s="700">
        <v>80.37</v>
      </c>
      <c r="E64" s="504">
        <v>1</v>
      </c>
      <c r="F64" s="505">
        <v>6436013</v>
      </c>
      <c r="G64" s="514">
        <f>IF(ISBLANK(F64),"-",(F64/$D$50*$D$47*$B$68)*($B$57/$D$64))</f>
        <v>56.911993279720889</v>
      </c>
      <c r="H64" s="515">
        <f t="shared" si="0"/>
        <v>0.94853322132868145</v>
      </c>
    </row>
    <row r="65" spans="1:8" ht="26.25" customHeight="1" x14ac:dyDescent="0.4">
      <c r="A65" s="449" t="s">
        <v>100</v>
      </c>
      <c r="B65" s="450">
        <v>1</v>
      </c>
      <c r="C65" s="698"/>
      <c r="D65" s="701"/>
      <c r="E65" s="508">
        <v>2</v>
      </c>
      <c r="F65" s="462">
        <v>6373567</v>
      </c>
      <c r="G65" s="516">
        <f>IF(ISBLANK(F65),"-",(F65/$D$50*$D$47*$B$68)*($B$57/$D$64))</f>
        <v>56.359799501935562</v>
      </c>
      <c r="H65" s="517">
        <f t="shared" si="0"/>
        <v>0.93932999169892606</v>
      </c>
    </row>
    <row r="66" spans="1:8" ht="26.25" customHeight="1" x14ac:dyDescent="0.4">
      <c r="A66" s="449" t="s">
        <v>101</v>
      </c>
      <c r="B66" s="450">
        <v>1</v>
      </c>
      <c r="C66" s="698"/>
      <c r="D66" s="701"/>
      <c r="E66" s="508">
        <v>3</v>
      </c>
      <c r="F66" s="462">
        <v>6336787</v>
      </c>
      <c r="G66" s="516">
        <f>IF(ISBLANK(F66),"-",(F66/$D$50*$D$47*$B$68)*($B$57/$D$64))</f>
        <v>56.034563503681952</v>
      </c>
      <c r="H66" s="517">
        <f t="shared" si="0"/>
        <v>0.93390939172803256</v>
      </c>
    </row>
    <row r="67" spans="1:8" ht="27" customHeight="1" thickBot="1" x14ac:dyDescent="0.45">
      <c r="A67" s="449" t="s">
        <v>102</v>
      </c>
      <c r="B67" s="450">
        <v>1</v>
      </c>
      <c r="C67" s="699"/>
      <c r="D67" s="702"/>
      <c r="E67" s="512">
        <v>4</v>
      </c>
      <c r="F67" s="513"/>
      <c r="G67" s="518" t="str">
        <f>IF(ISBLANK(F67),"-",(F67/$D$50*$D$47*$B$68)*($B$57/$D$64))</f>
        <v>-</v>
      </c>
      <c r="H67" s="519" t="str">
        <f t="shared" si="0"/>
        <v>-</v>
      </c>
    </row>
    <row r="68" spans="1:8" ht="26.25" customHeight="1" x14ac:dyDescent="0.4">
      <c r="A68" s="449" t="s">
        <v>103</v>
      </c>
      <c r="B68" s="520">
        <f>(B67/B66)*(B65/B64)*(B63/B62)*(B61/B60)*B59</f>
        <v>100</v>
      </c>
      <c r="C68" s="697" t="s">
        <v>104</v>
      </c>
      <c r="D68" s="700">
        <v>79.89</v>
      </c>
      <c r="E68" s="504">
        <v>1</v>
      </c>
      <c r="F68" s="505"/>
      <c r="G68" s="514" t="str">
        <f>IF(ISBLANK(F68),"-",(F68/$D$50*$D$47*$B$68)*($B$57/$D$68))</f>
        <v>-</v>
      </c>
      <c r="H68" s="510" t="str">
        <f t="shared" si="0"/>
        <v>-</v>
      </c>
    </row>
    <row r="69" spans="1:8" ht="27" customHeight="1" thickBot="1" x14ac:dyDescent="0.45">
      <c r="A69" s="495" t="s">
        <v>105</v>
      </c>
      <c r="B69" s="521">
        <f>(D47*B68)/B56*B57</f>
        <v>80.431866666666664</v>
      </c>
      <c r="C69" s="698"/>
      <c r="D69" s="701"/>
      <c r="E69" s="508">
        <v>2</v>
      </c>
      <c r="F69" s="462">
        <v>6226217</v>
      </c>
      <c r="G69" s="516">
        <f>IF(ISBLANK(F69),"-",(F69/$D$50*$D$47*$B$68)*($B$57/$D$68))</f>
        <v>55.387617452850655</v>
      </c>
      <c r="H69" s="510">
        <f t="shared" si="0"/>
        <v>0.92312695754751095</v>
      </c>
    </row>
    <row r="70" spans="1:8" ht="26.25" customHeight="1" x14ac:dyDescent="0.4">
      <c r="A70" s="705" t="s">
        <v>78</v>
      </c>
      <c r="B70" s="706"/>
      <c r="C70" s="698"/>
      <c r="D70" s="701"/>
      <c r="E70" s="508">
        <v>3</v>
      </c>
      <c r="F70" s="462"/>
      <c r="G70" s="516" t="str">
        <f>IF(ISBLANK(F70),"-",(F70/$D$50*$D$47*$B$68)*($B$57/$D$68))</f>
        <v>-</v>
      </c>
      <c r="H70" s="510" t="str">
        <f t="shared" si="0"/>
        <v>-</v>
      </c>
    </row>
    <row r="71" spans="1:8" ht="27" customHeight="1" thickBot="1" x14ac:dyDescent="0.45">
      <c r="A71" s="707"/>
      <c r="B71" s="708"/>
      <c r="C71" s="703"/>
      <c r="D71" s="702"/>
      <c r="E71" s="512">
        <v>4</v>
      </c>
      <c r="F71" s="513"/>
      <c r="G71" s="518" t="str">
        <f>IF(ISBLANK(F71),"-",(F71/$D$50*$D$47*$B$68)*($B$57/$D$68))</f>
        <v>-</v>
      </c>
      <c r="H71" s="522" t="str">
        <f t="shared" si="0"/>
        <v>-</v>
      </c>
    </row>
    <row r="72" spans="1:8" ht="26.25" customHeight="1" x14ac:dyDescent="0.4">
      <c r="A72" s="479"/>
      <c r="B72" s="479"/>
      <c r="C72" s="479"/>
      <c r="D72" s="479"/>
      <c r="E72" s="479"/>
      <c r="F72" s="523" t="s">
        <v>71</v>
      </c>
      <c r="G72" s="524">
        <f>AVERAGE(G60:G71)</f>
        <v>56.448961504884295</v>
      </c>
      <c r="H72" s="525">
        <f>AVERAGE(H60:H71)</f>
        <v>0.94081602508140494</v>
      </c>
    </row>
    <row r="73" spans="1:8" ht="26.25" customHeight="1" x14ac:dyDescent="0.4">
      <c r="C73" s="479"/>
      <c r="D73" s="479"/>
      <c r="E73" s="479"/>
      <c r="F73" s="526" t="s">
        <v>84</v>
      </c>
      <c r="G73" s="527">
        <f>STDEV(G60:G71)/G72</f>
        <v>1.8848053798500335E-2</v>
      </c>
      <c r="H73" s="527">
        <f>STDEV(H60:H71)/H72</f>
        <v>1.8848053798500332E-2</v>
      </c>
    </row>
    <row r="74" spans="1:8" ht="27" customHeight="1" thickBot="1" x14ac:dyDescent="0.45">
      <c r="A74" s="479"/>
      <c r="B74" s="479"/>
      <c r="C74" s="479"/>
      <c r="D74" s="479"/>
      <c r="E74" s="481"/>
      <c r="F74" s="528" t="s">
        <v>20</v>
      </c>
      <c r="G74" s="529">
        <f>COUNT(G60:G71)</f>
        <v>6</v>
      </c>
      <c r="H74" s="529">
        <f>COUNT(H60:H71)</f>
        <v>6</v>
      </c>
    </row>
    <row r="76" spans="1:8" ht="26.25" customHeight="1" x14ac:dyDescent="0.4">
      <c r="A76" s="432" t="s">
        <v>106</v>
      </c>
      <c r="B76" s="433" t="s">
        <v>107</v>
      </c>
      <c r="C76" s="709" t="str">
        <f>B20</f>
        <v xml:space="preserve">Rifampicin, Isoniazid, Pyrazinamide 
</v>
      </c>
      <c r="D76" s="709"/>
      <c r="E76" s="422" t="s">
        <v>108</v>
      </c>
      <c r="F76" s="422"/>
      <c r="G76" s="530">
        <f>H72</f>
        <v>0.94081602508140494</v>
      </c>
      <c r="H76" s="438"/>
    </row>
    <row r="77" spans="1:8" ht="18.75" x14ac:dyDescent="0.3">
      <c r="A77" s="431" t="s">
        <v>109</v>
      </c>
      <c r="B77" s="431" t="s">
        <v>110</v>
      </c>
    </row>
    <row r="78" spans="1:8" ht="18.75" x14ac:dyDescent="0.3">
      <c r="A78" s="431"/>
      <c r="B78" s="431"/>
    </row>
    <row r="79" spans="1:8" ht="26.25" customHeight="1" x14ac:dyDescent="0.4">
      <c r="A79" s="432" t="s">
        <v>4</v>
      </c>
      <c r="B79" s="704" t="str">
        <f>B26</f>
        <v>Rifampicin</v>
      </c>
      <c r="C79" s="704"/>
    </row>
    <row r="80" spans="1:8" ht="26.25" customHeight="1" x14ac:dyDescent="0.4">
      <c r="A80" s="433" t="s">
        <v>48</v>
      </c>
      <c r="B80" s="704" t="str">
        <f>B27</f>
        <v>R5-1</v>
      </c>
      <c r="C80" s="704"/>
    </row>
    <row r="81" spans="1:12" ht="27" customHeight="1" thickBot="1" x14ac:dyDescent="0.45">
      <c r="A81" s="433" t="s">
        <v>6</v>
      </c>
      <c r="B81" s="434">
        <f>B28</f>
        <v>99.6</v>
      </c>
    </row>
    <row r="82" spans="1:12" s="436" customFormat="1" ht="27" customHeight="1" thickBot="1" x14ac:dyDescent="0.45">
      <c r="A82" s="433" t="s">
        <v>49</v>
      </c>
      <c r="B82" s="435">
        <v>0</v>
      </c>
      <c r="C82" s="686" t="s">
        <v>50</v>
      </c>
      <c r="D82" s="687"/>
      <c r="E82" s="687"/>
      <c r="F82" s="687"/>
      <c r="G82" s="688"/>
      <c r="I82" s="437"/>
      <c r="J82" s="437"/>
      <c r="K82" s="437"/>
      <c r="L82" s="437"/>
    </row>
    <row r="83" spans="1:12" s="436" customFormat="1" ht="19.5" customHeight="1" thickBot="1" x14ac:dyDescent="0.35">
      <c r="A83" s="433" t="s">
        <v>51</v>
      </c>
      <c r="B83" s="438">
        <f>B81-B82</f>
        <v>99.6</v>
      </c>
      <c r="C83" s="439"/>
      <c r="D83" s="439"/>
      <c r="E83" s="439"/>
      <c r="F83" s="439"/>
      <c r="G83" s="440"/>
      <c r="I83" s="437"/>
      <c r="J83" s="437"/>
      <c r="K83" s="437"/>
      <c r="L83" s="437"/>
    </row>
    <row r="84" spans="1:12" s="436" customFormat="1" ht="27" customHeight="1" thickBot="1" x14ac:dyDescent="0.45">
      <c r="A84" s="433" t="s">
        <v>52</v>
      </c>
      <c r="B84" s="441">
        <v>1</v>
      </c>
      <c r="C84" s="674" t="s">
        <v>111</v>
      </c>
      <c r="D84" s="675"/>
      <c r="E84" s="675"/>
      <c r="F84" s="675"/>
      <c r="G84" s="675"/>
      <c r="H84" s="676"/>
      <c r="I84" s="437"/>
      <c r="J84" s="437"/>
      <c r="K84" s="437"/>
      <c r="L84" s="437"/>
    </row>
    <row r="85" spans="1:12" s="436" customFormat="1" ht="27" customHeight="1" thickBot="1" x14ac:dyDescent="0.45">
      <c r="A85" s="433" t="s">
        <v>54</v>
      </c>
      <c r="B85" s="441">
        <v>1</v>
      </c>
      <c r="C85" s="674" t="s">
        <v>112</v>
      </c>
      <c r="D85" s="675"/>
      <c r="E85" s="675"/>
      <c r="F85" s="675"/>
      <c r="G85" s="675"/>
      <c r="H85" s="676"/>
      <c r="I85" s="437"/>
      <c r="J85" s="437"/>
      <c r="K85" s="437"/>
      <c r="L85" s="437"/>
    </row>
    <row r="86" spans="1:12" s="436" customFormat="1" ht="18.75" x14ac:dyDescent="0.3">
      <c r="A86" s="433"/>
      <c r="B86" s="444"/>
      <c r="C86" s="445"/>
      <c r="D86" s="445"/>
      <c r="E86" s="445"/>
      <c r="F86" s="445"/>
      <c r="G86" s="445"/>
      <c r="H86" s="445"/>
      <c r="I86" s="437"/>
      <c r="J86" s="437"/>
      <c r="K86" s="437"/>
      <c r="L86" s="437"/>
    </row>
    <row r="87" spans="1:12" s="436" customFormat="1" ht="18.75" x14ac:dyDescent="0.3">
      <c r="A87" s="433" t="s">
        <v>56</v>
      </c>
      <c r="B87" s="446">
        <f>B84/B85</f>
        <v>1</v>
      </c>
      <c r="C87" s="422" t="s">
        <v>57</v>
      </c>
      <c r="D87" s="422"/>
      <c r="E87" s="422"/>
      <c r="F87" s="422"/>
      <c r="G87" s="422"/>
      <c r="I87" s="437"/>
      <c r="J87" s="437"/>
      <c r="K87" s="437"/>
      <c r="L87" s="437"/>
    </row>
    <row r="88" spans="1:12" ht="19.5" customHeight="1" thickBot="1" x14ac:dyDescent="0.35">
      <c r="A88" s="431"/>
      <c r="B88" s="431"/>
    </row>
    <row r="89" spans="1:12" ht="27" customHeight="1" thickBot="1" x14ac:dyDescent="0.45">
      <c r="A89" s="447" t="s">
        <v>58</v>
      </c>
      <c r="B89" s="448">
        <v>100</v>
      </c>
      <c r="D89" s="531" t="s">
        <v>59</v>
      </c>
      <c r="E89" s="532"/>
      <c r="F89" s="689" t="s">
        <v>60</v>
      </c>
      <c r="G89" s="691"/>
    </row>
    <row r="90" spans="1:12" ht="27" customHeight="1" thickBot="1" x14ac:dyDescent="0.45">
      <c r="A90" s="449" t="s">
        <v>61</v>
      </c>
      <c r="B90" s="450">
        <v>10</v>
      </c>
      <c r="C90" s="533" t="s">
        <v>62</v>
      </c>
      <c r="D90" s="452" t="s">
        <v>63</v>
      </c>
      <c r="E90" s="453" t="s">
        <v>64</v>
      </c>
      <c r="F90" s="452" t="s">
        <v>63</v>
      </c>
      <c r="G90" s="534" t="s">
        <v>64</v>
      </c>
      <c r="I90" s="455" t="s">
        <v>65</v>
      </c>
    </row>
    <row r="91" spans="1:12" ht="26.25" customHeight="1" x14ac:dyDescent="0.4">
      <c r="A91" s="449" t="s">
        <v>66</v>
      </c>
      <c r="B91" s="450">
        <v>25</v>
      </c>
      <c r="C91" s="535">
        <v>1</v>
      </c>
      <c r="D91" s="457">
        <v>2774292</v>
      </c>
      <c r="E91" s="458">
        <f>IF(ISBLANK(D91),"-",$D$101/$D$98*D91)</f>
        <v>2613958.0845906152</v>
      </c>
      <c r="F91" s="457">
        <v>2468936</v>
      </c>
      <c r="G91" s="459">
        <f>IF(ISBLANK(F91),"-",$D$101/$F$98*F91)</f>
        <v>2639884.3510356653</v>
      </c>
      <c r="I91" s="460"/>
    </row>
    <row r="92" spans="1:12" ht="26.25" customHeight="1" x14ac:dyDescent="0.4">
      <c r="A92" s="449" t="s">
        <v>67</v>
      </c>
      <c r="B92" s="450">
        <v>1</v>
      </c>
      <c r="C92" s="479">
        <v>2</v>
      </c>
      <c r="D92" s="462">
        <v>2774581</v>
      </c>
      <c r="E92" s="463">
        <f>IF(ISBLANK(D92),"-",$D$101/$D$98*D92)</f>
        <v>2614230.382490925</v>
      </c>
      <c r="F92" s="462">
        <v>2462497</v>
      </c>
      <c r="G92" s="464">
        <f>IF(ISBLANK(F92),"-",$D$101/$F$98*F92)</f>
        <v>2632999.516703662</v>
      </c>
      <c r="I92" s="692">
        <f>ABS((F96/D96*D95)-F95)/D95</f>
        <v>8.963898497979416E-3</v>
      </c>
    </row>
    <row r="93" spans="1:12" ht="26.25" customHeight="1" x14ac:dyDescent="0.4">
      <c r="A93" s="449" t="s">
        <v>68</v>
      </c>
      <c r="B93" s="450">
        <v>1</v>
      </c>
      <c r="C93" s="479">
        <v>3</v>
      </c>
      <c r="D93" s="462">
        <v>2756107</v>
      </c>
      <c r="E93" s="463">
        <f>IF(ISBLANK(D93),"-",$D$101/$D$98*D93)</f>
        <v>2596824.0454309736</v>
      </c>
      <c r="F93" s="462">
        <v>2461308</v>
      </c>
      <c r="G93" s="464">
        <f>IF(ISBLANK(F93),"-",$D$101/$F$98*F93)</f>
        <v>2631728.1907181442</v>
      </c>
      <c r="I93" s="692"/>
    </row>
    <row r="94" spans="1:12" ht="27" customHeight="1" thickBot="1" x14ac:dyDescent="0.45">
      <c r="A94" s="449" t="s">
        <v>69</v>
      </c>
      <c r="B94" s="450">
        <v>1</v>
      </c>
      <c r="C94" s="536">
        <v>4</v>
      </c>
      <c r="D94" s="466"/>
      <c r="E94" s="467" t="str">
        <f>IF(ISBLANK(D94),"-",$D$101/$D$98*D94)</f>
        <v>-</v>
      </c>
      <c r="F94" s="537"/>
      <c r="G94" s="468" t="str">
        <f>IF(ISBLANK(F94),"-",$D$101/$F$98*F94)</f>
        <v>-</v>
      </c>
      <c r="I94" s="469"/>
    </row>
    <row r="95" spans="1:12" ht="27" customHeight="1" thickBot="1" x14ac:dyDescent="0.45">
      <c r="A95" s="449" t="s">
        <v>70</v>
      </c>
      <c r="B95" s="450">
        <v>1</v>
      </c>
      <c r="C95" s="433" t="s">
        <v>71</v>
      </c>
      <c r="D95" s="538">
        <f>AVERAGE(D91:D94)</f>
        <v>2768326.6666666665</v>
      </c>
      <c r="E95" s="472">
        <f>AVERAGE(E91:E94)</f>
        <v>2608337.5041708383</v>
      </c>
      <c r="F95" s="539">
        <f>AVERAGE(F91:F94)</f>
        <v>2464247</v>
      </c>
      <c r="G95" s="540">
        <f>AVERAGE(G91:G94)</f>
        <v>2634870.6861524903</v>
      </c>
    </row>
    <row r="96" spans="1:12" ht="26.25" customHeight="1" x14ac:dyDescent="0.4">
      <c r="A96" s="449" t="s">
        <v>72</v>
      </c>
      <c r="B96" s="434">
        <v>1</v>
      </c>
      <c r="C96" s="541" t="s">
        <v>113</v>
      </c>
      <c r="D96" s="542">
        <v>17.760000000000002</v>
      </c>
      <c r="E96" s="422"/>
      <c r="F96" s="476">
        <v>15.65</v>
      </c>
    </row>
    <row r="97" spans="1:10" ht="26.25" customHeight="1" x14ac:dyDescent="0.4">
      <c r="A97" s="449" t="s">
        <v>74</v>
      </c>
      <c r="B97" s="434">
        <v>1</v>
      </c>
      <c r="C97" s="543" t="s">
        <v>114</v>
      </c>
      <c r="D97" s="544">
        <f>D96*$B$87</f>
        <v>17.760000000000002</v>
      </c>
      <c r="E97" s="479"/>
      <c r="F97" s="478">
        <f>F96*$B$87</f>
        <v>15.65</v>
      </c>
    </row>
    <row r="98" spans="1:10" ht="19.5" customHeight="1" thickBot="1" x14ac:dyDescent="0.35">
      <c r="A98" s="449" t="s">
        <v>76</v>
      </c>
      <c r="B98" s="479">
        <f>(B97/B96)*(B95/B94)*(B93/B92)*(B91/B90)*B89</f>
        <v>250</v>
      </c>
      <c r="C98" s="543" t="s">
        <v>115</v>
      </c>
      <c r="D98" s="545">
        <f>D97*$B$83/100</f>
        <v>17.688959999999998</v>
      </c>
      <c r="E98" s="481"/>
      <c r="F98" s="480">
        <f>F97*$B$83/100</f>
        <v>15.587400000000001</v>
      </c>
    </row>
    <row r="99" spans="1:10" ht="19.5" customHeight="1" thickBot="1" x14ac:dyDescent="0.35">
      <c r="A99" s="693" t="s">
        <v>78</v>
      </c>
      <c r="B99" s="710"/>
      <c r="C99" s="543" t="s">
        <v>116</v>
      </c>
      <c r="D99" s="546">
        <f>D98/$B$98</f>
        <v>7.0755839999999987E-2</v>
      </c>
      <c r="E99" s="481"/>
      <c r="F99" s="484">
        <f>F98/$B$98</f>
        <v>6.2349600000000005E-2</v>
      </c>
      <c r="H99" s="474"/>
    </row>
    <row r="100" spans="1:10" ht="19.5" customHeight="1" thickBot="1" x14ac:dyDescent="0.35">
      <c r="A100" s="695"/>
      <c r="B100" s="711"/>
      <c r="C100" s="543" t="s">
        <v>80</v>
      </c>
      <c r="D100" s="547">
        <f>$B$56/$B$116</f>
        <v>6.6666666666666666E-2</v>
      </c>
      <c r="F100" s="489"/>
      <c r="G100" s="548"/>
      <c r="H100" s="474"/>
    </row>
    <row r="101" spans="1:10" ht="18.75" x14ac:dyDescent="0.3">
      <c r="C101" s="543" t="s">
        <v>81</v>
      </c>
      <c r="D101" s="544">
        <f>D100*$B$98</f>
        <v>16.666666666666668</v>
      </c>
      <c r="F101" s="489"/>
      <c r="H101" s="474"/>
    </row>
    <row r="102" spans="1:10" ht="19.5" customHeight="1" thickBot="1" x14ac:dyDescent="0.35">
      <c r="C102" s="549" t="s">
        <v>82</v>
      </c>
      <c r="D102" s="550">
        <f>D101/B34</f>
        <v>16.666666666666668</v>
      </c>
      <c r="F102" s="493"/>
      <c r="H102" s="474"/>
      <c r="J102" s="551"/>
    </row>
    <row r="103" spans="1:10" ht="18.75" x14ac:dyDescent="0.3">
      <c r="C103" s="552" t="s">
        <v>117</v>
      </c>
      <c r="D103" s="553">
        <f>AVERAGE(E91:E94,G91:G94)</f>
        <v>2621604.0951616643</v>
      </c>
      <c r="F103" s="493"/>
      <c r="G103" s="548"/>
      <c r="H103" s="474"/>
      <c r="J103" s="554"/>
    </row>
    <row r="104" spans="1:10" ht="18.75" x14ac:dyDescent="0.3">
      <c r="C104" s="526" t="s">
        <v>84</v>
      </c>
      <c r="D104" s="555">
        <f>STDEV(E91:E94,G91:G94)/D103</f>
        <v>6.1350075969387541E-3</v>
      </c>
      <c r="F104" s="493"/>
      <c r="H104" s="474"/>
      <c r="J104" s="554"/>
    </row>
    <row r="105" spans="1:10" ht="19.5" customHeight="1" thickBot="1" x14ac:dyDescent="0.35">
      <c r="C105" s="528" t="s">
        <v>20</v>
      </c>
      <c r="D105" s="556">
        <f>COUNT(E91:E94,G91:G94)</f>
        <v>6</v>
      </c>
      <c r="F105" s="493"/>
      <c r="H105" s="474"/>
      <c r="J105" s="554"/>
    </row>
    <row r="106" spans="1:10" ht="19.5" customHeight="1" thickBot="1" x14ac:dyDescent="0.35">
      <c r="A106" s="497"/>
      <c r="B106" s="497"/>
      <c r="C106" s="497"/>
      <c r="D106" s="497"/>
      <c r="E106" s="497"/>
    </row>
    <row r="107" spans="1:10" ht="26.25" customHeight="1" x14ac:dyDescent="0.4">
      <c r="A107" s="447" t="s">
        <v>118</v>
      </c>
      <c r="B107" s="448">
        <v>900</v>
      </c>
      <c r="C107" s="531" t="s">
        <v>119</v>
      </c>
      <c r="D107" s="557" t="s">
        <v>63</v>
      </c>
      <c r="E107" s="558" t="s">
        <v>120</v>
      </c>
      <c r="F107" s="559" t="s">
        <v>121</v>
      </c>
    </row>
    <row r="108" spans="1:10" ht="26.25" customHeight="1" x14ac:dyDescent="0.4">
      <c r="A108" s="449" t="s">
        <v>122</v>
      </c>
      <c r="B108" s="450">
        <v>1</v>
      </c>
      <c r="C108" s="560">
        <v>1</v>
      </c>
      <c r="D108" s="561">
        <v>2401788</v>
      </c>
      <c r="E108" s="562">
        <f t="shared" ref="E108:E113" si="1">IF(ISBLANK(D108),"-",D108/$D$103*$D$100*$B$116)</f>
        <v>54.969123776530211</v>
      </c>
      <c r="F108" s="563">
        <f t="shared" ref="F108:F113" si="2">IF(ISBLANK(D108), "-", E108/$B$56)</f>
        <v>0.91615206294217022</v>
      </c>
    </row>
    <row r="109" spans="1:10" ht="26.25" customHeight="1" x14ac:dyDescent="0.4">
      <c r="A109" s="449" t="s">
        <v>95</v>
      </c>
      <c r="B109" s="450">
        <v>1</v>
      </c>
      <c r="C109" s="560">
        <v>2</v>
      </c>
      <c r="D109" s="561">
        <v>2456390</v>
      </c>
      <c r="E109" s="564">
        <f t="shared" si="1"/>
        <v>56.218786151580005</v>
      </c>
      <c r="F109" s="565">
        <f t="shared" si="2"/>
        <v>0.93697976919300008</v>
      </c>
    </row>
    <row r="110" spans="1:10" ht="26.25" customHeight="1" x14ac:dyDescent="0.4">
      <c r="A110" s="449" t="s">
        <v>96</v>
      </c>
      <c r="B110" s="450">
        <v>1</v>
      </c>
      <c r="C110" s="560">
        <v>3</v>
      </c>
      <c r="D110" s="561">
        <v>2596938</v>
      </c>
      <c r="E110" s="564">
        <f t="shared" si="1"/>
        <v>59.435473223271501</v>
      </c>
      <c r="F110" s="565">
        <f t="shared" si="2"/>
        <v>0.9905912203878583</v>
      </c>
    </row>
    <row r="111" spans="1:10" ht="26.25" customHeight="1" x14ac:dyDescent="0.4">
      <c r="A111" s="449" t="s">
        <v>97</v>
      </c>
      <c r="B111" s="450">
        <v>1</v>
      </c>
      <c r="C111" s="560">
        <v>4</v>
      </c>
      <c r="D111" s="561">
        <v>2334366</v>
      </c>
      <c r="E111" s="564">
        <f t="shared" si="1"/>
        <v>53.426053254377031</v>
      </c>
      <c r="F111" s="565">
        <f t="shared" si="2"/>
        <v>0.89043422090628388</v>
      </c>
    </row>
    <row r="112" spans="1:10" ht="26.25" customHeight="1" x14ac:dyDescent="0.4">
      <c r="A112" s="449" t="s">
        <v>98</v>
      </c>
      <c r="B112" s="450">
        <v>1</v>
      </c>
      <c r="C112" s="560">
        <v>5</v>
      </c>
      <c r="D112" s="561">
        <v>2292810</v>
      </c>
      <c r="E112" s="564">
        <f t="shared" si="1"/>
        <v>52.474971432143981</v>
      </c>
      <c r="F112" s="565">
        <f t="shared" si="2"/>
        <v>0.8745828572023997</v>
      </c>
    </row>
    <row r="113" spans="1:10" ht="26.25" customHeight="1" x14ac:dyDescent="0.4">
      <c r="A113" s="449" t="s">
        <v>100</v>
      </c>
      <c r="B113" s="450">
        <v>1</v>
      </c>
      <c r="C113" s="566">
        <v>6</v>
      </c>
      <c r="D113" s="567">
        <v>2441185</v>
      </c>
      <c r="E113" s="568">
        <f t="shared" si="1"/>
        <v>55.870793103474945</v>
      </c>
      <c r="F113" s="569">
        <f t="shared" si="2"/>
        <v>0.93117988505791571</v>
      </c>
    </row>
    <row r="114" spans="1:10" ht="26.25" customHeight="1" x14ac:dyDescent="0.4">
      <c r="A114" s="449" t="s">
        <v>101</v>
      </c>
      <c r="B114" s="450">
        <v>1</v>
      </c>
      <c r="C114" s="560"/>
      <c r="D114" s="479"/>
      <c r="E114" s="422"/>
      <c r="F114" s="570"/>
    </row>
    <row r="115" spans="1:10" ht="26.25" customHeight="1" x14ac:dyDescent="0.4">
      <c r="A115" s="449" t="s">
        <v>102</v>
      </c>
      <c r="B115" s="450">
        <v>1</v>
      </c>
      <c r="C115" s="560"/>
      <c r="D115" s="571" t="s">
        <v>71</v>
      </c>
      <c r="E115" s="572">
        <f>AVERAGE(E108:E113)</f>
        <v>55.399200156896285</v>
      </c>
      <c r="F115" s="573">
        <f>AVERAGE(F108:F113)</f>
        <v>0.92332000261493807</v>
      </c>
    </row>
    <row r="116" spans="1:10" ht="27" customHeight="1" thickBot="1" x14ac:dyDescent="0.45">
      <c r="A116" s="449" t="s">
        <v>103</v>
      </c>
      <c r="B116" s="461">
        <f>(B115/B114)*(B113/B112)*(B111/B110)*(B109/B108)*B107</f>
        <v>900</v>
      </c>
      <c r="C116" s="574"/>
      <c r="D116" s="433" t="s">
        <v>84</v>
      </c>
      <c r="E116" s="575">
        <f>STDEV(E108:E113)/E115</f>
        <v>4.4078720413475658E-2</v>
      </c>
      <c r="F116" s="575">
        <f>STDEV(F108:F113)/F115</f>
        <v>4.4078720413475617E-2</v>
      </c>
      <c r="I116" s="422"/>
    </row>
    <row r="117" spans="1:10" ht="27" customHeight="1" thickBot="1" x14ac:dyDescent="0.45">
      <c r="A117" s="693" t="s">
        <v>78</v>
      </c>
      <c r="B117" s="694"/>
      <c r="C117" s="576"/>
      <c r="D117" s="577" t="s">
        <v>20</v>
      </c>
      <c r="E117" s="578">
        <f>COUNT(E108:E113)</f>
        <v>6</v>
      </c>
      <c r="F117" s="578">
        <f>COUNT(F108:F113)</f>
        <v>6</v>
      </c>
      <c r="I117" s="422"/>
      <c r="J117" s="554"/>
    </row>
    <row r="118" spans="1:10" ht="19.5" customHeight="1" thickBot="1" x14ac:dyDescent="0.35">
      <c r="A118" s="695"/>
      <c r="B118" s="696"/>
      <c r="C118" s="422"/>
      <c r="D118" s="422"/>
      <c r="E118" s="422"/>
      <c r="F118" s="479"/>
      <c r="G118" s="422"/>
      <c r="H118" s="422"/>
      <c r="I118" s="422"/>
    </row>
    <row r="119" spans="1:10" ht="18.75" x14ac:dyDescent="0.3">
      <c r="A119" s="579"/>
      <c r="B119" s="445"/>
      <c r="C119" s="422"/>
      <c r="D119" s="422"/>
      <c r="E119" s="422"/>
      <c r="F119" s="479"/>
      <c r="G119" s="422"/>
      <c r="H119" s="422"/>
      <c r="I119" s="422"/>
    </row>
    <row r="120" spans="1:10" ht="26.25" customHeight="1" x14ac:dyDescent="0.4">
      <c r="A120" s="432" t="s">
        <v>106</v>
      </c>
      <c r="B120" s="433" t="s">
        <v>123</v>
      </c>
      <c r="C120" s="709" t="str">
        <f>B20</f>
        <v xml:space="preserve">Rifampicin, Isoniazid, Pyrazinamide 
</v>
      </c>
      <c r="D120" s="709"/>
      <c r="E120" s="422" t="s">
        <v>124</v>
      </c>
      <c r="F120" s="422"/>
      <c r="G120" s="530">
        <f>F115</f>
        <v>0.92332000261493807</v>
      </c>
      <c r="H120" s="422"/>
      <c r="I120" s="422"/>
    </row>
    <row r="121" spans="1:10" ht="19.5" customHeight="1" thickBot="1" x14ac:dyDescent="0.35">
      <c r="A121" s="580"/>
      <c r="B121" s="580"/>
      <c r="C121" s="581"/>
      <c r="D121" s="581"/>
      <c r="E121" s="581"/>
      <c r="F121" s="581"/>
      <c r="G121" s="581"/>
      <c r="H121" s="581"/>
    </row>
    <row r="122" spans="1:10" ht="18.75" x14ac:dyDescent="0.3">
      <c r="B122" s="712" t="s">
        <v>26</v>
      </c>
      <c r="C122" s="712"/>
      <c r="E122" s="533" t="s">
        <v>27</v>
      </c>
      <c r="F122" s="582"/>
      <c r="G122" s="712" t="s">
        <v>28</v>
      </c>
      <c r="H122" s="712"/>
    </row>
    <row r="123" spans="1:10" ht="69.95" customHeight="1" x14ac:dyDescent="0.3">
      <c r="A123" s="432" t="s">
        <v>29</v>
      </c>
      <c r="B123" s="583"/>
      <c r="C123" s="583"/>
      <c r="E123" s="583"/>
      <c r="F123" s="422"/>
      <c r="G123" s="583"/>
      <c r="H123" s="583"/>
    </row>
    <row r="124" spans="1:10" ht="69.95" customHeight="1" x14ac:dyDescent="0.3">
      <c r="A124" s="432" t="s">
        <v>30</v>
      </c>
      <c r="B124" s="584"/>
      <c r="C124" s="584"/>
      <c r="E124" s="584"/>
      <c r="F124" s="422"/>
      <c r="G124" s="585"/>
      <c r="H124" s="585"/>
    </row>
    <row r="125" spans="1:10" ht="18.75" x14ac:dyDescent="0.3">
      <c r="A125" s="479"/>
      <c r="B125" s="479"/>
      <c r="C125" s="479"/>
      <c r="D125" s="479"/>
      <c r="E125" s="479"/>
      <c r="F125" s="481"/>
      <c r="G125" s="479"/>
      <c r="H125" s="479"/>
      <c r="I125" s="422"/>
    </row>
    <row r="126" spans="1:10" ht="18.75" x14ac:dyDescent="0.3">
      <c r="A126" s="479"/>
      <c r="B126" s="479"/>
      <c r="C126" s="479"/>
      <c r="D126" s="479"/>
      <c r="E126" s="479"/>
      <c r="F126" s="481"/>
      <c r="G126" s="479"/>
      <c r="H126" s="479"/>
      <c r="I126" s="422"/>
    </row>
    <row r="127" spans="1:10" ht="18.75" x14ac:dyDescent="0.3">
      <c r="A127" s="479"/>
      <c r="B127" s="479"/>
      <c r="C127" s="479"/>
      <c r="D127" s="479"/>
      <c r="E127" s="479"/>
      <c r="F127" s="481"/>
      <c r="G127" s="479"/>
      <c r="H127" s="479"/>
      <c r="I127" s="422"/>
    </row>
    <row r="128" spans="1:10" ht="18.75" x14ac:dyDescent="0.3">
      <c r="A128" s="479"/>
      <c r="B128" s="479"/>
      <c r="C128" s="479"/>
      <c r="D128" s="479"/>
      <c r="E128" s="479"/>
      <c r="F128" s="481"/>
      <c r="G128" s="479"/>
      <c r="H128" s="479"/>
      <c r="I128" s="422"/>
    </row>
    <row r="129" spans="1:9" ht="18.75" x14ac:dyDescent="0.3">
      <c r="A129" s="479"/>
      <c r="B129" s="479"/>
      <c r="C129" s="479"/>
      <c r="D129" s="479"/>
      <c r="E129" s="479"/>
      <c r="F129" s="481"/>
      <c r="G129" s="479"/>
      <c r="H129" s="479"/>
      <c r="I129" s="422"/>
    </row>
    <row r="130" spans="1:9" ht="18.75" x14ac:dyDescent="0.3">
      <c r="A130" s="479"/>
      <c r="B130" s="479"/>
      <c r="C130" s="479"/>
      <c r="D130" s="479"/>
      <c r="E130" s="479"/>
      <c r="F130" s="481"/>
      <c r="G130" s="479"/>
      <c r="H130" s="479"/>
      <c r="I130" s="422"/>
    </row>
    <row r="131" spans="1:9" ht="18.75" x14ac:dyDescent="0.3">
      <c r="A131" s="479"/>
      <c r="B131" s="479"/>
      <c r="C131" s="479"/>
      <c r="D131" s="479"/>
      <c r="E131" s="479"/>
      <c r="F131" s="481"/>
      <c r="G131" s="479"/>
      <c r="H131" s="479"/>
      <c r="I131" s="422"/>
    </row>
    <row r="132" spans="1:9" ht="18.75" x14ac:dyDescent="0.3">
      <c r="A132" s="479"/>
      <c r="B132" s="479"/>
      <c r="C132" s="479"/>
      <c r="D132" s="479"/>
      <c r="E132" s="479"/>
      <c r="F132" s="481"/>
      <c r="G132" s="479"/>
      <c r="H132" s="479"/>
      <c r="I132" s="422"/>
    </row>
    <row r="133" spans="1:9" ht="18.75" x14ac:dyDescent="0.3">
      <c r="A133" s="479"/>
      <c r="B133" s="479"/>
      <c r="C133" s="479"/>
      <c r="D133" s="479"/>
      <c r="E133" s="479"/>
      <c r="F133" s="481"/>
      <c r="G133" s="479"/>
      <c r="H133" s="479"/>
      <c r="I133" s="422"/>
    </row>
    <row r="250" spans="1:1" x14ac:dyDescent="0.25">
      <c r="A250" s="421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SST ISONIAZID</vt:lpstr>
      <vt:lpstr>SST PYRAZINAMIDE</vt:lpstr>
      <vt:lpstr>SST RIFAMPICIN</vt:lpstr>
      <vt:lpstr>Uniformity</vt:lpstr>
      <vt:lpstr>Isoniazid</vt:lpstr>
      <vt:lpstr>Pyrazinamide</vt:lpstr>
      <vt:lpstr>Rifampin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dcterms:created xsi:type="dcterms:W3CDTF">2005-07-05T10:19:27Z</dcterms:created>
  <dcterms:modified xsi:type="dcterms:W3CDTF">2016-06-21T13:56:22Z</dcterms:modified>
  <cp:category/>
</cp:coreProperties>
</file>