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Rifampicin" sheetId="5" r:id="rId1"/>
    <sheet name="Uniformity" sheetId="2" r:id="rId2"/>
    <sheet name="Rifampicin" sheetId="3" r:id="rId3"/>
    <sheet name="SST Isoniazid" sheetId="6" r:id="rId4"/>
    <sheet name="Isoniazid" sheetId="4" r:id="rId5"/>
  </sheets>
  <definedNames>
    <definedName name="_xlnm.Print_Area" localSheetId="4">Isoniazid!$A$1:$I$125</definedName>
    <definedName name="_xlnm.Print_Area" localSheetId="2">Rifampicin!$A$1:$I$124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3" l="1"/>
  <c r="D101" i="3"/>
  <c r="D102" i="3" s="1"/>
  <c r="B69" i="3"/>
  <c r="I39" i="3"/>
  <c r="D45" i="3"/>
  <c r="D46" i="3" s="1"/>
  <c r="I92" i="4"/>
  <c r="D101" i="4"/>
  <c r="D102" i="4" s="1"/>
  <c r="I39" i="4"/>
  <c r="D44" i="4"/>
  <c r="D45" i="4" s="1"/>
  <c r="D46" i="4" s="1"/>
  <c r="F44" i="4"/>
  <c r="F45" i="4" s="1"/>
  <c r="F46" i="4" s="1"/>
  <c r="D49" i="3"/>
  <c r="F98" i="3"/>
  <c r="F99" i="3" s="1"/>
  <c r="D49" i="4"/>
  <c r="F98" i="4"/>
  <c r="F99" i="4" s="1"/>
  <c r="F44" i="3"/>
  <c r="F45" i="3" s="1"/>
  <c r="F46" i="3" s="1"/>
  <c r="B57" i="4"/>
  <c r="B69" i="4" s="1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G93" i="3" l="1"/>
  <c r="G92" i="3"/>
  <c r="E40" i="3"/>
  <c r="G41" i="3"/>
  <c r="E41" i="3"/>
  <c r="E38" i="3"/>
  <c r="E39" i="3"/>
  <c r="G40" i="3"/>
  <c r="E39" i="4"/>
  <c r="E38" i="4"/>
  <c r="G41" i="4"/>
  <c r="G40" i="4"/>
  <c r="G38" i="4"/>
  <c r="G39" i="4"/>
  <c r="E91" i="4"/>
  <c r="G93" i="4"/>
  <c r="G94" i="4"/>
  <c r="G91" i="4"/>
  <c r="G92" i="4"/>
  <c r="E92" i="4"/>
  <c r="E92" i="3"/>
  <c r="E94" i="3"/>
  <c r="G38" i="3"/>
  <c r="G94" i="3"/>
  <c r="E93" i="3"/>
  <c r="E41" i="4"/>
  <c r="E40" i="4"/>
  <c r="G39" i="3"/>
  <c r="E94" i="4"/>
  <c r="E93" i="4"/>
  <c r="E91" i="3"/>
  <c r="G91" i="3"/>
  <c r="G95" i="3" l="1"/>
  <c r="E42" i="3"/>
  <c r="G42" i="3"/>
  <c r="D50" i="3"/>
  <c r="G71" i="3" s="1"/>
  <c r="H71" i="3" s="1"/>
  <c r="D105" i="4"/>
  <c r="G95" i="4"/>
  <c r="D103" i="4"/>
  <c r="E112" i="4" s="1"/>
  <c r="F112" i="4" s="1"/>
  <c r="E95" i="4"/>
  <c r="D50" i="4"/>
  <c r="G66" i="4" s="1"/>
  <c r="H66" i="4" s="1"/>
  <c r="E42" i="4"/>
  <c r="G42" i="4"/>
  <c r="D52" i="4"/>
  <c r="D104" i="4"/>
  <c r="E95" i="3"/>
  <c r="D105" i="3"/>
  <c r="D103" i="3"/>
  <c r="D52" i="3"/>
  <c r="G61" i="3" l="1"/>
  <c r="H61" i="3" s="1"/>
  <c r="G66" i="3"/>
  <c r="H66" i="3" s="1"/>
  <c r="G70" i="3"/>
  <c r="H70" i="3" s="1"/>
  <c r="G67" i="3"/>
  <c r="H67" i="3" s="1"/>
  <c r="G68" i="3"/>
  <c r="H68" i="3" s="1"/>
  <c r="G63" i="3"/>
  <c r="H63" i="3" s="1"/>
  <c r="G62" i="3"/>
  <c r="H62" i="3" s="1"/>
  <c r="D51" i="3"/>
  <c r="G60" i="3"/>
  <c r="H60" i="3" s="1"/>
  <c r="G69" i="3"/>
  <c r="H69" i="3" s="1"/>
  <c r="G65" i="3"/>
  <c r="H65" i="3" s="1"/>
  <c r="G64" i="3"/>
  <c r="H64" i="3" s="1"/>
  <c r="E113" i="4"/>
  <c r="F113" i="4" s="1"/>
  <c r="E108" i="4"/>
  <c r="F108" i="4" s="1"/>
  <c r="E110" i="4"/>
  <c r="F110" i="4" s="1"/>
  <c r="E109" i="4"/>
  <c r="F109" i="4" s="1"/>
  <c r="E111" i="4"/>
  <c r="F111" i="4" s="1"/>
  <c r="G68" i="4"/>
  <c r="H68" i="4" s="1"/>
  <c r="G70" i="4"/>
  <c r="H70" i="4" s="1"/>
  <c r="G61" i="4"/>
  <c r="H61" i="4" s="1"/>
  <c r="G71" i="4"/>
  <c r="H71" i="4" s="1"/>
  <c r="G64" i="4"/>
  <c r="H64" i="4" s="1"/>
  <c r="G67" i="4"/>
  <c r="H67" i="4" s="1"/>
  <c r="G69" i="4"/>
  <c r="H69" i="4" s="1"/>
  <c r="G63" i="4"/>
  <c r="H63" i="4" s="1"/>
  <c r="D51" i="4"/>
  <c r="G62" i="4"/>
  <c r="H62" i="4" s="1"/>
  <c r="G65" i="4"/>
  <c r="H65" i="4" s="1"/>
  <c r="G60" i="4"/>
  <c r="H60" i="4" s="1"/>
  <c r="E112" i="3"/>
  <c r="F112" i="3" s="1"/>
  <c r="E110" i="3"/>
  <c r="F110" i="3" s="1"/>
  <c r="E108" i="3"/>
  <c r="D104" i="3"/>
  <c r="E113" i="3"/>
  <c r="F113" i="3" s="1"/>
  <c r="E111" i="3"/>
  <c r="F111" i="3" s="1"/>
  <c r="E109" i="3"/>
  <c r="F109" i="3" s="1"/>
  <c r="G72" i="3" l="1"/>
  <c r="G73" i="3" s="1"/>
  <c r="G74" i="3"/>
  <c r="E117" i="4"/>
  <c r="E115" i="4"/>
  <c r="E116" i="4" s="1"/>
  <c r="G72" i="4"/>
  <c r="G73" i="4" s="1"/>
  <c r="G74" i="4"/>
  <c r="H72" i="3"/>
  <c r="H74" i="3"/>
  <c r="E115" i="3"/>
  <c r="E116" i="3" s="1"/>
  <c r="E117" i="3"/>
  <c r="F108" i="3"/>
  <c r="H74" i="4"/>
  <c r="H72" i="4"/>
  <c r="F117" i="4"/>
  <c r="F115" i="4"/>
  <c r="G76" i="4" l="1"/>
  <c r="H73" i="4"/>
  <c r="G120" i="4"/>
  <c r="F116" i="4"/>
  <c r="F115" i="3"/>
  <c r="F117" i="3"/>
  <c r="G76" i="3"/>
  <c r="H73" i="3"/>
  <c r="G120" i="3" l="1"/>
  <c r="F116" i="3"/>
</calcChain>
</file>

<file path=xl/sharedStrings.xml><?xml version="1.0" encoding="utf-8"?>
<sst xmlns="http://schemas.openxmlformats.org/spreadsheetml/2006/main" count="440" uniqueCount="132">
  <si>
    <t>HPLC System Suitability Report</t>
  </si>
  <si>
    <t>Analysis Data</t>
  </si>
  <si>
    <t>Assay</t>
  </si>
  <si>
    <t>Sample(s)</t>
  </si>
  <si>
    <t>Reference Substance:</t>
  </si>
  <si>
    <t>RIFAMPICIN 60MG, ISONIAZID 60MG TABLETS</t>
  </si>
  <si>
    <t>% age Purity:</t>
  </si>
  <si>
    <t>NDQD2016061108</t>
  </si>
  <si>
    <t>Weight (mg):</t>
  </si>
  <si>
    <t>Rifampicin, Isoniazid</t>
  </si>
  <si>
    <t>Standard Conc (mg/mL):</t>
  </si>
  <si>
    <t>Each Tablet contains: Rifampicin 60mg, Isoniazid 60mg</t>
  </si>
  <si>
    <t>2016-06-10 07:02:44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</si>
  <si>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</si>
  <si>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</si>
  <si>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</si>
  <si>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</si>
  <si>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</si>
  <si>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</si>
  <si>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</si>
  <si>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</si>
  <si>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</si>
  <si>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</si>
  <si>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</si>
  <si>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</si>
  <si>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</si>
  <si>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</si>
  <si>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</si>
  <si>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</si>
  <si>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</si>
  <si>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</si>
  <si>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</si>
  <si>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</si>
  <si>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</si>
  <si>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</si>
  <si>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</si>
  <si>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</si>
  <si>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</si>
  <si>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</si>
  <si>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</si>
  <si>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</si>
  <si>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</si>
  <si>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</si>
  <si>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</si>
  <si>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</si>
  <si>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</si>
  <si>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</si>
  <si>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</si>
  <si>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</si>
  <si>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</si>
  <si>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</si>
  <si>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</si>
  <si>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</si>
  <si>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</si>
  <si>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</si>
  <si>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</si>
  <si>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</si>
  <si>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</si>
  <si>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</si>
  <si>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</si>
  <si>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</si>
  <si>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</si>
  <si>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</si>
  <si>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</si>
  <si>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</si>
  <si>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</si>
  <si>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</si>
  <si>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</si>
  <si>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</si>
  <si>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</si>
  <si>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</si>
  <si>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</si>
  <si>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</si>
  <si>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</si>
  <si>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</si>
  <si>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</si>
  <si>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</si>
  <si>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</si>
  <si>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</si>
  <si>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</si>
  <si>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</si>
  <si>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</si>
  <si>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</si>
  <si>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</si>
  <si>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</si>
  <si>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</si>
  <si>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</si>
  <si>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</si>
  <si>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</si>
  <si>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</si>
  <si>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</si>
  <si>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</si>
  <si>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</si>
  <si>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</si>
  <si>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</si>
  <si>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</si>
  <si>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</si>
  <si>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</si>
  <si>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</si>
  <si>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</si>
  <si>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</si>
  <si>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</si>
  <si>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</si>
  <si>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</si>
  <si>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</si>
  <si>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</si>
  <si>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</si>
  <si>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</si>
  <si>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</si>
  <si>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</si>
  <si>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</si>
  <si>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</si>
  <si>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</si>
  <si>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</si>
  <si>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</si>
  <si>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</si>
  <si>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</si>
  <si>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</si>
  <si>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</si>
  <si>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</si>
  <si>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</si>
  <si>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</si>
  <si>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</si>
  <si>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</si>
  <si>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</si>
  <si>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Isoniazid</t>
  </si>
  <si>
    <t>18-2</t>
  </si>
  <si>
    <t xml:space="preserve"> Isoniazid</t>
  </si>
  <si>
    <t>Rifampicin</t>
  </si>
  <si>
    <t>R5-1</t>
  </si>
  <si>
    <t>RUTTO/JOYFRIDA</t>
  </si>
  <si>
    <t>13/06/2016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</si>
</sst>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5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1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5</v>
      </c>
      <c r="D17" s="470"/>
      <c r="E17" s="471"/>
    </row>
    <row r="18" spans="1:5" ht="16.5" customHeight="1" x14ac:dyDescent="0.3">
      <c r="A18" s="472" t="s">
        <v>4</v>
      </c>
      <c r="B18" s="469" t="s">
        <v>128</v>
      </c>
      <c r="C18" s="471"/>
      <c r="D18" s="471"/>
      <c r="E18" s="471"/>
    </row>
    <row r="19" spans="1:5" ht="16.5" customHeight="1" x14ac:dyDescent="0.3">
      <c r="A19" s="472" t="s">
        <v>6</v>
      </c>
      <c r="B19" s="473">
        <v>99.6</v>
      </c>
      <c r="C19" s="471"/>
      <c r="D19" s="471"/>
      <c r="E19" s="471"/>
    </row>
    <row r="20" spans="1:5" ht="16.5" customHeight="1" x14ac:dyDescent="0.3">
      <c r="A20" s="469" t="s">
        <v>8</v>
      </c>
      <c r="B20" s="473">
        <v>13.65</v>
      </c>
      <c r="C20" s="471"/>
      <c r="D20" s="471"/>
      <c r="E20" s="471"/>
    </row>
    <row r="21" spans="1:5" ht="16.5" customHeight="1" x14ac:dyDescent="0.3">
      <c r="A21" s="469" t="s">
        <v>10</v>
      </c>
      <c r="B21" s="474">
        <f>13.65/50*5/25</f>
        <v>5.460000000000001E-2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17563668</v>
      </c>
      <c r="C24" s="478">
        <v>78711</v>
      </c>
      <c r="D24" s="479">
        <v>1</v>
      </c>
      <c r="E24" s="480">
        <v>7.6</v>
      </c>
    </row>
    <row r="25" spans="1:5" ht="16.5" customHeight="1" x14ac:dyDescent="0.3">
      <c r="A25" s="477">
        <v>2</v>
      </c>
      <c r="B25" s="478">
        <v>17463686</v>
      </c>
      <c r="C25" s="478">
        <v>78662</v>
      </c>
      <c r="D25" s="479">
        <v>1</v>
      </c>
      <c r="E25" s="479">
        <v>7.6</v>
      </c>
    </row>
    <row r="26" spans="1:5" ht="16.5" customHeight="1" x14ac:dyDescent="0.3">
      <c r="A26" s="477">
        <v>3</v>
      </c>
      <c r="B26" s="478">
        <v>17336413</v>
      </c>
      <c r="C26" s="478">
        <v>78477.3</v>
      </c>
      <c r="D26" s="479">
        <v>1</v>
      </c>
      <c r="E26" s="479">
        <v>7.6</v>
      </c>
    </row>
    <row r="27" spans="1:5" ht="16.5" customHeight="1" x14ac:dyDescent="0.3">
      <c r="A27" s="477">
        <v>4</v>
      </c>
      <c r="B27" s="478">
        <v>17265787</v>
      </c>
      <c r="C27" s="478">
        <v>78176.5</v>
      </c>
      <c r="D27" s="479">
        <v>1</v>
      </c>
      <c r="E27" s="479">
        <v>7.6</v>
      </c>
    </row>
    <row r="28" spans="1:5" ht="16.5" customHeight="1" x14ac:dyDescent="0.3">
      <c r="A28" s="477">
        <v>5</v>
      </c>
      <c r="B28" s="478">
        <v>17161001</v>
      </c>
      <c r="C28" s="478">
        <v>78417</v>
      </c>
      <c r="D28" s="479">
        <v>1</v>
      </c>
      <c r="E28" s="479">
        <v>7.5</v>
      </c>
    </row>
    <row r="29" spans="1:5" ht="16.5" customHeight="1" x14ac:dyDescent="0.3">
      <c r="A29" s="477">
        <v>6</v>
      </c>
      <c r="B29" s="481">
        <v>17097968</v>
      </c>
      <c r="C29" s="481">
        <v>78405</v>
      </c>
      <c r="D29" s="482">
        <v>1</v>
      </c>
      <c r="E29" s="482">
        <v>7.5</v>
      </c>
    </row>
    <row r="30" spans="1:5" ht="16.5" customHeight="1" x14ac:dyDescent="0.3">
      <c r="A30" s="483" t="s">
        <v>18</v>
      </c>
      <c r="B30" s="484">
        <f>AVERAGE(B24:B29)</f>
        <v>17314753.833333332</v>
      </c>
      <c r="C30" s="485">
        <f>AVERAGE(C24:C29)</f>
        <v>78474.8</v>
      </c>
      <c r="D30" s="486">
        <f>AVERAGE(D24:D29)</f>
        <v>1</v>
      </c>
      <c r="E30" s="486">
        <f>AVERAGE(E24:E29)</f>
        <v>7.5666666666666664</v>
      </c>
    </row>
    <row r="31" spans="1:5" ht="16.5" customHeight="1" x14ac:dyDescent="0.3">
      <c r="A31" s="487" t="s">
        <v>19</v>
      </c>
      <c r="B31" s="488">
        <f>(STDEV(B24:B29)/B30)</f>
        <v>1.0254974417551183E-2</v>
      </c>
      <c r="C31" s="489"/>
      <c r="D31" s="489"/>
      <c r="E31" s="490"/>
    </row>
    <row r="32" spans="1:5" s="464" customFormat="1" ht="16.5" customHeight="1" x14ac:dyDescent="0.3">
      <c r="A32" s="491" t="s">
        <v>20</v>
      </c>
      <c r="B32" s="492">
        <f>COUNT(B24:B29)</f>
        <v>6</v>
      </c>
      <c r="C32" s="493"/>
      <c r="D32" s="494"/>
      <c r="E32" s="495"/>
    </row>
    <row r="33" spans="1:5" s="464" customFormat="1" ht="15.75" customHeight="1" x14ac:dyDescent="0.25">
      <c r="A33" s="471"/>
      <c r="B33" s="471"/>
      <c r="C33" s="471"/>
      <c r="D33" s="471"/>
      <c r="E33" s="471"/>
    </row>
    <row r="34" spans="1:5" s="464" customFormat="1" ht="16.5" customHeight="1" x14ac:dyDescent="0.3">
      <c r="A34" s="472" t="s">
        <v>21</v>
      </c>
      <c r="B34" s="496" t="s">
        <v>22</v>
      </c>
      <c r="C34" s="497"/>
      <c r="D34" s="497"/>
      <c r="E34" s="497"/>
    </row>
    <row r="35" spans="1:5" ht="16.5" customHeight="1" x14ac:dyDescent="0.3">
      <c r="A35" s="472"/>
      <c r="B35" s="496" t="s">
        <v>23</v>
      </c>
      <c r="C35" s="497"/>
      <c r="D35" s="497"/>
      <c r="E35" s="497"/>
    </row>
    <row r="36" spans="1:5" ht="16.5" customHeight="1" x14ac:dyDescent="0.3">
      <c r="A36" s="472"/>
      <c r="B36" s="496" t="s">
        <v>24</v>
      </c>
      <c r="C36" s="497"/>
      <c r="D36" s="497"/>
      <c r="E36" s="497"/>
    </row>
    <row r="37" spans="1:5" ht="15.75" customHeight="1" x14ac:dyDescent="0.25">
      <c r="A37" s="471"/>
      <c r="B37" s="471"/>
      <c r="C37" s="471"/>
      <c r="D37" s="471"/>
      <c r="E37" s="471"/>
    </row>
    <row r="38" spans="1:5" ht="16.5" customHeight="1" x14ac:dyDescent="0.3">
      <c r="A38" s="467" t="s">
        <v>1</v>
      </c>
      <c r="B38" s="468" t="s">
        <v>25</v>
      </c>
    </row>
    <row r="39" spans="1:5" ht="16.5" customHeight="1" x14ac:dyDescent="0.3">
      <c r="A39" s="472" t="s">
        <v>4</v>
      </c>
      <c r="C39" s="471"/>
      <c r="D39" s="471"/>
      <c r="E39" s="471"/>
    </row>
    <row r="40" spans="1:5" ht="16.5" customHeight="1" x14ac:dyDescent="0.3">
      <c r="A40" s="472" t="s">
        <v>6</v>
      </c>
      <c r="B40" s="473"/>
      <c r="C40" s="471"/>
      <c r="D40" s="471"/>
      <c r="E40" s="471"/>
    </row>
    <row r="41" spans="1:5" ht="16.5" customHeight="1" x14ac:dyDescent="0.3">
      <c r="A41" s="469" t="s">
        <v>8</v>
      </c>
      <c r="B41" s="473"/>
      <c r="C41" s="471"/>
      <c r="D41" s="471"/>
      <c r="E41" s="471"/>
    </row>
    <row r="42" spans="1:5" ht="16.5" customHeight="1" x14ac:dyDescent="0.3">
      <c r="A42" s="469" t="s">
        <v>10</v>
      </c>
      <c r="B42" s="474"/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78"/>
      <c r="C45" s="478"/>
      <c r="D45" s="479"/>
      <c r="E45" s="480"/>
    </row>
    <row r="46" spans="1:5" ht="16.5" customHeight="1" x14ac:dyDescent="0.3">
      <c r="A46" s="477">
        <v>2</v>
      </c>
      <c r="B46" s="478"/>
      <c r="C46" s="478"/>
      <c r="D46" s="479"/>
      <c r="E46" s="479"/>
    </row>
    <row r="47" spans="1:5" ht="16.5" customHeight="1" x14ac:dyDescent="0.3">
      <c r="A47" s="477">
        <v>3</v>
      </c>
      <c r="B47" s="478"/>
      <c r="C47" s="478"/>
      <c r="D47" s="479"/>
      <c r="E47" s="479"/>
    </row>
    <row r="48" spans="1:5" ht="16.5" customHeight="1" x14ac:dyDescent="0.3">
      <c r="A48" s="477">
        <v>4</v>
      </c>
      <c r="B48" s="478"/>
      <c r="C48" s="478"/>
      <c r="D48" s="479"/>
      <c r="E48" s="479"/>
    </row>
    <row r="49" spans="1:7" ht="16.5" customHeight="1" x14ac:dyDescent="0.3">
      <c r="A49" s="477">
        <v>5</v>
      </c>
      <c r="B49" s="478"/>
      <c r="C49" s="478"/>
      <c r="D49" s="479"/>
      <c r="E49" s="479"/>
    </row>
    <row r="50" spans="1:7" ht="16.5" customHeight="1" x14ac:dyDescent="0.3">
      <c r="A50" s="477">
        <v>6</v>
      </c>
      <c r="B50" s="481"/>
      <c r="C50" s="481"/>
      <c r="D50" s="482"/>
      <c r="E50" s="482"/>
    </row>
    <row r="51" spans="1:7" ht="16.5" customHeight="1" x14ac:dyDescent="0.3">
      <c r="A51" s="483" t="s">
        <v>18</v>
      </c>
      <c r="B51" s="484" t="e">
        <f>AVERAGE(B45:B50)</f>
        <v>#DIV/0!</v>
      </c>
      <c r="C51" s="485" t="e">
        <f>AVERAGE(C45:C50)</f>
        <v>#DIV/0!</v>
      </c>
      <c r="D51" s="486" t="e">
        <f>AVERAGE(D45:D50)</f>
        <v>#DIV/0!</v>
      </c>
      <c r="E51" s="486" t="e">
        <f>AVERAGE(E45:E50)</f>
        <v>#DIV/0!</v>
      </c>
    </row>
    <row r="52" spans="1:7" ht="16.5" customHeight="1" x14ac:dyDescent="0.3">
      <c r="A52" s="487" t="s">
        <v>19</v>
      </c>
      <c r="B52" s="488" t="e">
        <f>(STDEV(B45:B50)/B51)</f>
        <v>#DIV/0!</v>
      </c>
      <c r="C52" s="489"/>
      <c r="D52" s="489"/>
      <c r="E52" s="490"/>
    </row>
    <row r="53" spans="1:7" s="464" customFormat="1" ht="16.5" customHeight="1" x14ac:dyDescent="0.3">
      <c r="A53" s="491" t="s">
        <v>20</v>
      </c>
      <c r="B53" s="492">
        <f>COUNT(B45:B50)</f>
        <v>0</v>
      </c>
      <c r="C53" s="493"/>
      <c r="D53" s="494"/>
      <c r="E53" s="495"/>
    </row>
    <row r="54" spans="1:7" s="464" customFormat="1" ht="15.75" customHeight="1" x14ac:dyDescent="0.25">
      <c r="A54" s="471"/>
      <c r="B54" s="471"/>
      <c r="C54" s="471"/>
      <c r="D54" s="471"/>
      <c r="E54" s="471"/>
    </row>
    <row r="55" spans="1:7" s="464" customFormat="1" ht="16.5" customHeight="1" x14ac:dyDescent="0.3">
      <c r="A55" s="472" t="s">
        <v>21</v>
      </c>
      <c r="B55" s="496" t="s">
        <v>22</v>
      </c>
      <c r="C55" s="497"/>
      <c r="D55" s="497"/>
      <c r="E55" s="497"/>
    </row>
    <row r="56" spans="1:7" ht="16.5" customHeight="1" x14ac:dyDescent="0.3">
      <c r="A56" s="472"/>
      <c r="B56" s="496" t="s">
        <v>23</v>
      </c>
      <c r="C56" s="497"/>
      <c r="D56" s="497"/>
      <c r="E56" s="497"/>
    </row>
    <row r="57" spans="1:7" ht="16.5" customHeight="1" x14ac:dyDescent="0.3">
      <c r="A57" s="472"/>
      <c r="B57" s="496" t="s">
        <v>24</v>
      </c>
      <c r="C57" s="497"/>
      <c r="D57" s="497"/>
      <c r="E57" s="497"/>
    </row>
    <row r="58" spans="1:7" ht="14.25" customHeight="1" thickBot="1" x14ac:dyDescent="0.3">
      <c r="A58" s="498"/>
      <c r="B58" s="499"/>
      <c r="D58" s="500"/>
      <c r="F58" s="501"/>
      <c r="G58" s="501"/>
    </row>
    <row r="59" spans="1:7" ht="15" customHeight="1" x14ac:dyDescent="0.3">
      <c r="B59" s="502" t="s">
        <v>26</v>
      </c>
      <c r="C59" s="502"/>
      <c r="E59" s="503" t="s">
        <v>27</v>
      </c>
      <c r="F59" s="504"/>
      <c r="G59" s="503" t="s">
        <v>28</v>
      </c>
    </row>
    <row r="60" spans="1:7" ht="15" customHeight="1" x14ac:dyDescent="0.3">
      <c r="A60" s="505" t="s">
        <v>29</v>
      </c>
      <c r="B60" s="506" t="s">
        <v>130</v>
      </c>
      <c r="C60" s="506"/>
      <c r="E60" s="506" t="s">
        <v>131</v>
      </c>
      <c r="G60" s="506"/>
    </row>
    <row r="61" spans="1:7" ht="15" customHeight="1" x14ac:dyDescent="0.3">
      <c r="A61" s="505" t="s">
        <v>30</v>
      </c>
      <c r="B61" s="507"/>
      <c r="C61" s="507"/>
      <c r="E61" s="507"/>
      <c r="G61" s="5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F23" sqref="F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31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32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33</v>
      </c>
      <c r="B14" s="423"/>
      <c r="C14" s="12" t="s">
        <v>5</v>
      </c>
    </row>
    <row r="15" spans="1:7" ht="16.5" customHeight="1" x14ac:dyDescent="0.3">
      <c r="A15" s="423" t="s">
        <v>34</v>
      </c>
      <c r="B15" s="423"/>
      <c r="C15" s="12" t="s">
        <v>7</v>
      </c>
    </row>
    <row r="16" spans="1:7" ht="16.5" customHeight="1" x14ac:dyDescent="0.3">
      <c r="A16" s="423" t="s">
        <v>35</v>
      </c>
      <c r="B16" s="423"/>
      <c r="C16" s="12" t="s">
        <v>9</v>
      </c>
    </row>
    <row r="17" spans="1:5" ht="16.5" customHeight="1" x14ac:dyDescent="0.3">
      <c r="A17" s="423" t="s">
        <v>36</v>
      </c>
      <c r="B17" s="423"/>
      <c r="C17" s="12" t="s">
        <v>11</v>
      </c>
    </row>
    <row r="18" spans="1:5" ht="16.5" customHeight="1" x14ac:dyDescent="0.3">
      <c r="A18" s="423" t="s">
        <v>37</v>
      </c>
      <c r="B18" s="423"/>
      <c r="C18" s="49" t="s">
        <v>12</v>
      </c>
    </row>
    <row r="19" spans="1:5" ht="16.5" customHeight="1" x14ac:dyDescent="0.3">
      <c r="A19" s="423" t="s">
        <v>38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39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297.91000000000003</v>
      </c>
      <c r="D24" s="39">
        <f t="shared" ref="D24:D43" si="0">(C24-$C$46)/$C$46</f>
        <v>-1.6588193897553586E-3</v>
      </c>
      <c r="E24" s="5"/>
    </row>
    <row r="25" spans="1:5" ht="15.75" customHeight="1" x14ac:dyDescent="0.3">
      <c r="C25" s="47">
        <v>297.95999999999998</v>
      </c>
      <c r="D25" s="40">
        <f t="shared" si="0"/>
        <v>-1.4912618756387902E-3</v>
      </c>
      <c r="E25" s="5"/>
    </row>
    <row r="26" spans="1:5" ht="15.75" customHeight="1" x14ac:dyDescent="0.3">
      <c r="C26" s="47">
        <v>295.31</v>
      </c>
      <c r="D26" s="40">
        <f t="shared" si="0"/>
        <v>-1.0371810123824906E-2</v>
      </c>
      <c r="E26" s="5"/>
    </row>
    <row r="27" spans="1:5" ht="15.75" customHeight="1" x14ac:dyDescent="0.3">
      <c r="C27" s="47">
        <v>294.3</v>
      </c>
      <c r="D27" s="40">
        <f t="shared" si="0"/>
        <v>-1.375647190898263E-2</v>
      </c>
      <c r="E27" s="5"/>
    </row>
    <row r="28" spans="1:5" ht="15.75" customHeight="1" x14ac:dyDescent="0.3">
      <c r="C28" s="47">
        <v>300.56</v>
      </c>
      <c r="D28" s="40">
        <f t="shared" si="0"/>
        <v>7.2217288584307563E-3</v>
      </c>
      <c r="E28" s="5"/>
    </row>
    <row r="29" spans="1:5" ht="15.75" customHeight="1" x14ac:dyDescent="0.3">
      <c r="C29" s="47">
        <v>298.86</v>
      </c>
      <c r="D29" s="40">
        <f t="shared" si="0"/>
        <v>1.5247733784622944E-3</v>
      </c>
      <c r="E29" s="5"/>
    </row>
    <row r="30" spans="1:5" ht="15.75" customHeight="1" x14ac:dyDescent="0.3">
      <c r="C30" s="47">
        <v>301.7</v>
      </c>
      <c r="D30" s="40">
        <f t="shared" si="0"/>
        <v>1.1042040180291939E-2</v>
      </c>
      <c r="E30" s="5"/>
    </row>
    <row r="31" spans="1:5" ht="15.75" customHeight="1" x14ac:dyDescent="0.3">
      <c r="C31" s="47">
        <v>297.79000000000002</v>
      </c>
      <c r="D31" s="40">
        <f t="shared" si="0"/>
        <v>-2.060957423635503E-3</v>
      </c>
      <c r="E31" s="5"/>
    </row>
    <row r="32" spans="1:5" ht="15.75" customHeight="1" x14ac:dyDescent="0.3">
      <c r="C32" s="47">
        <v>300.86</v>
      </c>
      <c r="D32" s="40">
        <f t="shared" si="0"/>
        <v>8.227073943131118E-3</v>
      </c>
      <c r="E32" s="5"/>
    </row>
    <row r="33" spans="1:7" ht="15.75" customHeight="1" x14ac:dyDescent="0.3">
      <c r="C33" s="47">
        <v>298.14999999999998</v>
      </c>
      <c r="D33" s="40">
        <f t="shared" si="0"/>
        <v>-8.545433219952597E-4</v>
      </c>
      <c r="E33" s="5"/>
    </row>
    <row r="34" spans="1:7" ht="15.75" customHeight="1" x14ac:dyDescent="0.3">
      <c r="C34" s="47">
        <v>300.58</v>
      </c>
      <c r="D34" s="40">
        <f t="shared" si="0"/>
        <v>7.288751864077383E-3</v>
      </c>
      <c r="E34" s="5"/>
    </row>
    <row r="35" spans="1:7" ht="15.75" customHeight="1" x14ac:dyDescent="0.3">
      <c r="C35" s="47">
        <v>295.35000000000002</v>
      </c>
      <c r="D35" s="40">
        <f t="shared" si="0"/>
        <v>-1.023776411253146E-2</v>
      </c>
      <c r="E35" s="5"/>
    </row>
    <row r="36" spans="1:7" ht="15.75" customHeight="1" x14ac:dyDescent="0.3">
      <c r="C36" s="47">
        <v>298.20999999999998</v>
      </c>
      <c r="D36" s="40">
        <f t="shared" si="0"/>
        <v>-6.5347430505518741E-4</v>
      </c>
      <c r="E36" s="5"/>
    </row>
    <row r="37" spans="1:7" ht="15.75" customHeight="1" x14ac:dyDescent="0.3">
      <c r="C37" s="47">
        <v>298.52999999999997</v>
      </c>
      <c r="D37" s="40">
        <f t="shared" si="0"/>
        <v>4.1889378529180146E-4</v>
      </c>
      <c r="E37" s="5"/>
    </row>
    <row r="38" spans="1:7" ht="15.75" customHeight="1" x14ac:dyDescent="0.3">
      <c r="C38" s="47">
        <v>302.77</v>
      </c>
      <c r="D38" s="40">
        <f t="shared" si="0"/>
        <v>1.4627770982389737E-2</v>
      </c>
      <c r="E38" s="5"/>
    </row>
    <row r="39" spans="1:7" ht="15.75" customHeight="1" x14ac:dyDescent="0.3">
      <c r="C39" s="47">
        <v>296.37</v>
      </c>
      <c r="D39" s="40">
        <f t="shared" si="0"/>
        <v>-6.8195908245504205E-3</v>
      </c>
      <c r="E39" s="5"/>
    </row>
    <row r="40" spans="1:7" ht="15.75" customHeight="1" x14ac:dyDescent="0.3">
      <c r="C40" s="47">
        <v>295.64999999999998</v>
      </c>
      <c r="D40" s="40">
        <f t="shared" si="0"/>
        <v>-9.232419027831288E-3</v>
      </c>
      <c r="E40" s="5"/>
    </row>
    <row r="41" spans="1:7" ht="15.75" customHeight="1" x14ac:dyDescent="0.3">
      <c r="C41" s="47">
        <v>298.56</v>
      </c>
      <c r="D41" s="40">
        <f t="shared" si="0"/>
        <v>5.194282937619328E-4</v>
      </c>
      <c r="E41" s="5"/>
    </row>
    <row r="42" spans="1:7" ht="15.75" customHeight="1" x14ac:dyDescent="0.3">
      <c r="C42" s="47">
        <v>297.48</v>
      </c>
      <c r="D42" s="40">
        <f t="shared" si="0"/>
        <v>-3.0998140111591784E-3</v>
      </c>
      <c r="E42" s="5"/>
    </row>
    <row r="43" spans="1:7" ht="16.5" customHeight="1" x14ac:dyDescent="0.3">
      <c r="C43" s="48">
        <v>301.2</v>
      </c>
      <c r="D43" s="41">
        <f t="shared" si="0"/>
        <v>9.3664650391247339E-3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5968.0999999999995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298.40499999999997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16">
        <f>C46</f>
        <v>298.40499999999997</v>
      </c>
      <c r="C49" s="45">
        <f>-IF(C46&lt;=80,10%,IF(C46&lt;250,7.5%,5%))</f>
        <v>-0.05</v>
      </c>
      <c r="D49" s="33">
        <f>IF(C46&lt;=80,C46*0.9,IF(C46&lt;250,C46*0.925,C46*0.95))</f>
        <v>283.48474999999996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313.32524999999998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19" sqref="A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24" t="s">
        <v>45</v>
      </c>
      <c r="B1" s="424"/>
      <c r="C1" s="424"/>
      <c r="D1" s="424"/>
      <c r="E1" s="424"/>
      <c r="F1" s="424"/>
      <c r="G1" s="424"/>
      <c r="H1" s="424"/>
      <c r="I1" s="424"/>
    </row>
    <row r="2" spans="1:9" ht="18.75" customHeight="1" x14ac:dyDescent="0.25">
      <c r="A2" s="424"/>
      <c r="B2" s="424"/>
      <c r="C2" s="424"/>
      <c r="D2" s="424"/>
      <c r="E2" s="424"/>
      <c r="F2" s="424"/>
      <c r="G2" s="424"/>
      <c r="H2" s="424"/>
      <c r="I2" s="424"/>
    </row>
    <row r="3" spans="1:9" ht="18.75" customHeight="1" x14ac:dyDescent="0.25">
      <c r="A3" s="424"/>
      <c r="B3" s="424"/>
      <c r="C3" s="424"/>
      <c r="D3" s="424"/>
      <c r="E3" s="424"/>
      <c r="F3" s="424"/>
      <c r="G3" s="424"/>
      <c r="H3" s="424"/>
      <c r="I3" s="424"/>
    </row>
    <row r="4" spans="1:9" ht="18.75" customHeight="1" x14ac:dyDescent="0.25">
      <c r="A4" s="424"/>
      <c r="B4" s="424"/>
      <c r="C4" s="424"/>
      <c r="D4" s="424"/>
      <c r="E4" s="424"/>
      <c r="F4" s="424"/>
      <c r="G4" s="424"/>
      <c r="H4" s="424"/>
      <c r="I4" s="424"/>
    </row>
    <row r="5" spans="1:9" ht="18.75" customHeight="1" x14ac:dyDescent="0.25">
      <c r="A5" s="424"/>
      <c r="B5" s="424"/>
      <c r="C5" s="424"/>
      <c r="D5" s="424"/>
      <c r="E5" s="424"/>
      <c r="F5" s="424"/>
      <c r="G5" s="424"/>
      <c r="H5" s="424"/>
      <c r="I5" s="424"/>
    </row>
    <row r="6" spans="1:9" ht="18.75" customHeight="1" x14ac:dyDescent="0.25">
      <c r="A6" s="424"/>
      <c r="B6" s="424"/>
      <c r="C6" s="424"/>
      <c r="D6" s="424"/>
      <c r="E6" s="424"/>
      <c r="F6" s="424"/>
      <c r="G6" s="424"/>
      <c r="H6" s="424"/>
      <c r="I6" s="424"/>
    </row>
    <row r="7" spans="1:9" ht="18.75" customHeight="1" x14ac:dyDescent="0.25">
      <c r="A7" s="424"/>
      <c r="B7" s="424"/>
      <c r="C7" s="424"/>
      <c r="D7" s="424"/>
      <c r="E7" s="424"/>
      <c r="F7" s="424"/>
      <c r="G7" s="424"/>
      <c r="H7" s="424"/>
      <c r="I7" s="424"/>
    </row>
    <row r="8" spans="1:9" x14ac:dyDescent="0.25">
      <c r="A8" s="425" t="s">
        <v>46</v>
      </c>
      <c r="B8" s="425"/>
      <c r="C8" s="425"/>
      <c r="D8" s="425"/>
      <c r="E8" s="425"/>
      <c r="F8" s="425"/>
      <c r="G8" s="425"/>
      <c r="H8" s="425"/>
      <c r="I8" s="425"/>
    </row>
    <row r="9" spans="1:9" x14ac:dyDescent="0.25">
      <c r="A9" s="425"/>
      <c r="B9" s="425"/>
      <c r="C9" s="425"/>
      <c r="D9" s="425"/>
      <c r="E9" s="425"/>
      <c r="F9" s="425"/>
      <c r="G9" s="425"/>
      <c r="H9" s="425"/>
      <c r="I9" s="425"/>
    </row>
    <row r="10" spans="1:9" x14ac:dyDescent="0.25">
      <c r="A10" s="425"/>
      <c r="B10" s="425"/>
      <c r="C10" s="425"/>
      <c r="D10" s="425"/>
      <c r="E10" s="425"/>
      <c r="F10" s="425"/>
      <c r="G10" s="425"/>
      <c r="H10" s="425"/>
      <c r="I10" s="425"/>
    </row>
    <row r="11" spans="1:9" x14ac:dyDescent="0.25">
      <c r="A11" s="425"/>
      <c r="B11" s="425"/>
      <c r="C11" s="425"/>
      <c r="D11" s="425"/>
      <c r="E11" s="425"/>
      <c r="F11" s="425"/>
      <c r="G11" s="425"/>
      <c r="H11" s="425"/>
      <c r="I11" s="425"/>
    </row>
    <row r="12" spans="1:9" x14ac:dyDescent="0.25">
      <c r="A12" s="425"/>
      <c r="B12" s="425"/>
      <c r="C12" s="425"/>
      <c r="D12" s="425"/>
      <c r="E12" s="425"/>
      <c r="F12" s="425"/>
      <c r="G12" s="425"/>
      <c r="H12" s="425"/>
      <c r="I12" s="425"/>
    </row>
    <row r="13" spans="1:9" x14ac:dyDescent="0.25">
      <c r="A13" s="425"/>
      <c r="B13" s="425"/>
      <c r="C13" s="425"/>
      <c r="D13" s="425"/>
      <c r="E13" s="425"/>
      <c r="F13" s="425"/>
      <c r="G13" s="425"/>
      <c r="H13" s="425"/>
      <c r="I13" s="425"/>
    </row>
    <row r="14" spans="1:9" x14ac:dyDescent="0.25">
      <c r="A14" s="425"/>
      <c r="B14" s="425"/>
      <c r="C14" s="425"/>
      <c r="D14" s="425"/>
      <c r="E14" s="425"/>
      <c r="F14" s="425"/>
      <c r="G14" s="425"/>
      <c r="H14" s="425"/>
      <c r="I14" s="425"/>
    </row>
    <row r="15" spans="1:9" ht="19.5" customHeight="1" x14ac:dyDescent="0.3">
      <c r="A15" s="50"/>
    </row>
    <row r="16" spans="1:9" ht="19.5" customHeight="1" x14ac:dyDescent="0.3">
      <c r="A16" s="458" t="s">
        <v>31</v>
      </c>
      <c r="B16" s="459"/>
      <c r="C16" s="459"/>
      <c r="D16" s="459"/>
      <c r="E16" s="459"/>
      <c r="F16" s="459"/>
      <c r="G16" s="459"/>
      <c r="H16" s="460"/>
    </row>
    <row r="17" spans="1:14" ht="20.25" customHeight="1" x14ac:dyDescent="0.25">
      <c r="A17" s="461" t="s">
        <v>47</v>
      </c>
      <c r="B17" s="461"/>
      <c r="C17" s="461"/>
      <c r="D17" s="461"/>
      <c r="E17" s="461"/>
      <c r="F17" s="461"/>
      <c r="G17" s="461"/>
      <c r="H17" s="461"/>
    </row>
    <row r="18" spans="1:14" ht="26.25" customHeight="1" x14ac:dyDescent="0.4">
      <c r="A18" s="52" t="s">
        <v>33</v>
      </c>
      <c r="B18" s="457" t="s">
        <v>5</v>
      </c>
      <c r="C18" s="457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62" t="s">
        <v>128</v>
      </c>
      <c r="C20" s="46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62" t="s">
        <v>11</v>
      </c>
      <c r="C21" s="462"/>
      <c r="D21" s="462"/>
      <c r="E21" s="462"/>
      <c r="F21" s="462"/>
      <c r="G21" s="462"/>
      <c r="H21" s="462"/>
      <c r="I21" s="56"/>
    </row>
    <row r="22" spans="1:14" ht="26.25" customHeight="1" x14ac:dyDescent="0.4">
      <c r="A22" s="52" t="s">
        <v>37</v>
      </c>
      <c r="B22" s="57">
        <v>42532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42533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57" t="s">
        <v>128</v>
      </c>
      <c r="C26" s="457"/>
    </row>
    <row r="27" spans="1:14" ht="26.25" customHeight="1" x14ac:dyDescent="0.4">
      <c r="A27" s="61" t="s">
        <v>48</v>
      </c>
      <c r="B27" s="455" t="s">
        <v>129</v>
      </c>
      <c r="C27" s="455"/>
    </row>
    <row r="28" spans="1:14" ht="27" customHeight="1" x14ac:dyDescent="0.4">
      <c r="A28" s="61" t="s">
        <v>6</v>
      </c>
      <c r="B28" s="62">
        <v>99.6</v>
      </c>
    </row>
    <row r="29" spans="1:14" s="3" customFormat="1" ht="27" customHeight="1" x14ac:dyDescent="0.4">
      <c r="A29" s="61" t="s">
        <v>49</v>
      </c>
      <c r="B29" s="63">
        <v>0</v>
      </c>
      <c r="C29" s="432" t="s">
        <v>50</v>
      </c>
      <c r="D29" s="433"/>
      <c r="E29" s="433"/>
      <c r="F29" s="433"/>
      <c r="G29" s="43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35" t="s">
        <v>53</v>
      </c>
      <c r="D31" s="436"/>
      <c r="E31" s="436"/>
      <c r="F31" s="436"/>
      <c r="G31" s="436"/>
      <c r="H31" s="43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35" t="s">
        <v>55</v>
      </c>
      <c r="D32" s="436"/>
      <c r="E32" s="436"/>
      <c r="F32" s="436"/>
      <c r="G32" s="436"/>
      <c r="H32" s="43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438" t="s">
        <v>59</v>
      </c>
      <c r="E36" s="456"/>
      <c r="F36" s="438" t="s">
        <v>60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84">
        <v>16791448</v>
      </c>
      <c r="E38" s="85">
        <f>IF(ISBLANK(D38),"-",$D$48/$D$45*D38)</f>
        <v>18526245.641908292</v>
      </c>
      <c r="F38" s="84">
        <v>19459048</v>
      </c>
      <c r="G38" s="86">
        <f>IF(ISBLANK(F38),"-",$D$48/$F$45*F38)</f>
        <v>18213670.093674887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16627214</v>
      </c>
      <c r="E39" s="90">
        <f>IF(ISBLANK(D39),"-",$D$48/$D$45*D39)</f>
        <v>18345043.911911383</v>
      </c>
      <c r="F39" s="89">
        <v>19476663</v>
      </c>
      <c r="G39" s="91">
        <f>IF(ISBLANK(F39),"-",$D$48/$F$45*F39)</f>
        <v>18230157.734730098</v>
      </c>
      <c r="I39" s="440">
        <f>ABS((F43/D43*D42)-F42)/D42</f>
        <v>5.9363069562656393E-3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16567979</v>
      </c>
      <c r="E40" s="90">
        <f>IF(ISBLANK(D40),"-",$D$48/$D$45*D40)</f>
        <v>18279689.086014386</v>
      </c>
      <c r="F40" s="89">
        <v>20283007</v>
      </c>
      <c r="G40" s="91">
        <f>IF(ISBLANK(F40),"-",$D$48/$F$45*F40)</f>
        <v>18984895.767033331</v>
      </c>
      <c r="I40" s="44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16662213.666666666</v>
      </c>
      <c r="E42" s="100">
        <f>AVERAGE(E38:E41)</f>
        <v>18383659.546611354</v>
      </c>
      <c r="F42" s="99">
        <f>AVERAGE(F38:F41)</f>
        <v>19739572.666666668</v>
      </c>
      <c r="G42" s="101">
        <f>AVERAGE(G38:G41)</f>
        <v>18476241.19847944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13.65</v>
      </c>
      <c r="E43" s="92"/>
      <c r="F43" s="104">
        <v>16.09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13.65</v>
      </c>
      <c r="E44" s="107"/>
      <c r="F44" s="106">
        <f>F43*$B$34</f>
        <v>16.09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250</v>
      </c>
      <c r="C45" s="105" t="s">
        <v>77</v>
      </c>
      <c r="D45" s="109">
        <f>D44*$B$30/100</f>
        <v>13.5954</v>
      </c>
      <c r="E45" s="110"/>
      <c r="F45" s="109">
        <f>F44*$B$30/100</f>
        <v>16.025639999999999</v>
      </c>
      <c r="H45" s="102"/>
    </row>
    <row r="46" spans="1:14" ht="19.5" customHeight="1" x14ac:dyDescent="0.3">
      <c r="A46" s="426" t="s">
        <v>78</v>
      </c>
      <c r="B46" s="427"/>
      <c r="C46" s="105" t="s">
        <v>79</v>
      </c>
      <c r="D46" s="111">
        <f>D45/$B$45</f>
        <v>5.4381600000000002E-2</v>
      </c>
      <c r="E46" s="112"/>
      <c r="F46" s="113">
        <f>F45/$B$45</f>
        <v>6.4102560000000003E-2</v>
      </c>
      <c r="H46" s="102"/>
    </row>
    <row r="47" spans="1:14" ht="27" customHeight="1" x14ac:dyDescent="0.4">
      <c r="A47" s="428"/>
      <c r="B47" s="429"/>
      <c r="C47" s="114" t="s">
        <v>80</v>
      </c>
      <c r="D47" s="115">
        <v>0.06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18429950.372545395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1.5980672450924435E-2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Rifampicin 60mg, Isoniazid 60mg</v>
      </c>
    </row>
    <row r="56" spans="1:12" ht="26.25" customHeight="1" x14ac:dyDescent="0.4">
      <c r="A56" s="129" t="s">
        <v>87</v>
      </c>
      <c r="B56" s="130">
        <v>60</v>
      </c>
      <c r="C56" s="51" t="str">
        <f>B20</f>
        <v>Rifampicin</v>
      </c>
      <c r="H56" s="131"/>
    </row>
    <row r="57" spans="1:12" ht="18.75" x14ac:dyDescent="0.3">
      <c r="A57" s="128" t="s">
        <v>88</v>
      </c>
      <c r="B57" s="220">
        <f>Uniformity!C46</f>
        <v>298.40499999999997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443" t="s">
        <v>94</v>
      </c>
      <c r="D60" s="446">
        <v>28.9</v>
      </c>
      <c r="E60" s="134">
        <v>1</v>
      </c>
      <c r="F60" s="135">
        <v>17935963</v>
      </c>
      <c r="G60" s="221">
        <f>IF(ISBLANK(F60),"-",(F60/$D$50*$D$47*$B$68)*($B$57/$D$60))</f>
        <v>60.292048106764099</v>
      </c>
      <c r="H60" s="136">
        <f t="shared" ref="H60:H71" si="0">IF(ISBLANK(F60),"-",G60/$B$56)</f>
        <v>1.0048674684460683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444"/>
      <c r="D61" s="447"/>
      <c r="E61" s="137">
        <v>2</v>
      </c>
      <c r="F61" s="89">
        <v>17863034</v>
      </c>
      <c r="G61" s="222">
        <f>IF(ISBLANK(F61),"-",(F61/$D$50*$D$47*$B$68)*($B$57/$D$60))</f>
        <v>60.046896018951578</v>
      </c>
      <c r="H61" s="138">
        <f t="shared" si="0"/>
        <v>1.0007816003158596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44"/>
      <c r="D62" s="447"/>
      <c r="E62" s="137">
        <v>3</v>
      </c>
      <c r="F62" s="139">
        <v>17815695</v>
      </c>
      <c r="G62" s="222">
        <f>IF(ISBLANK(F62),"-",(F62/$D$50*$D$47*$B$68)*($B$57/$D$60))</f>
        <v>59.887765156263796</v>
      </c>
      <c r="H62" s="138">
        <f t="shared" si="0"/>
        <v>0.99812941927106325</v>
      </c>
      <c r="L62" s="64"/>
    </row>
    <row r="63" spans="1:12" ht="27" customHeight="1" x14ac:dyDescent="0.4">
      <c r="A63" s="76" t="s">
        <v>97</v>
      </c>
      <c r="B63" s="77">
        <v>1</v>
      </c>
      <c r="C63" s="454"/>
      <c r="D63" s="44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43" t="s">
        <v>99</v>
      </c>
      <c r="D64" s="446"/>
      <c r="E64" s="134">
        <v>1</v>
      </c>
      <c r="F64" s="135"/>
      <c r="G64" s="223" t="str">
        <f>IF(ISBLANK(F64),"-",(F64/$D$50*$D$47*$B$68)*($B$57/$D$64))</f>
        <v>-</v>
      </c>
      <c r="H64" s="142" t="str">
        <f t="shared" si="0"/>
        <v>-</v>
      </c>
    </row>
    <row r="65" spans="1:8" ht="26.25" customHeight="1" x14ac:dyDescent="0.4">
      <c r="A65" s="76" t="s">
        <v>100</v>
      </c>
      <c r="B65" s="77">
        <v>1</v>
      </c>
      <c r="C65" s="444"/>
      <c r="D65" s="447"/>
      <c r="E65" s="137">
        <v>2</v>
      </c>
      <c r="F65" s="89"/>
      <c r="G65" s="224" t="str">
        <f>IF(ISBLANK(F65),"-",(F65/$D$50*$D$47*$B$68)*($B$57/$D$64))</f>
        <v>-</v>
      </c>
      <c r="H65" s="143" t="str">
        <f t="shared" si="0"/>
        <v>-</v>
      </c>
    </row>
    <row r="66" spans="1:8" ht="26.25" customHeight="1" x14ac:dyDescent="0.4">
      <c r="A66" s="76" t="s">
        <v>101</v>
      </c>
      <c r="B66" s="77">
        <v>1</v>
      </c>
      <c r="C66" s="444"/>
      <c r="D66" s="447"/>
      <c r="E66" s="137">
        <v>3</v>
      </c>
      <c r="F66" s="89"/>
      <c r="G66" s="224" t="str">
        <f>IF(ISBLANK(F66),"-",(F66/$D$50*$D$47*$B$68)*($B$57/$D$64))</f>
        <v>-</v>
      </c>
      <c r="H66" s="143" t="str">
        <f t="shared" si="0"/>
        <v>-</v>
      </c>
    </row>
    <row r="67" spans="1:8" ht="27" customHeight="1" x14ac:dyDescent="0.4">
      <c r="A67" s="76" t="s">
        <v>102</v>
      </c>
      <c r="B67" s="77">
        <v>1</v>
      </c>
      <c r="C67" s="454"/>
      <c r="D67" s="44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</v>
      </c>
      <c r="C68" s="443" t="s">
        <v>104</v>
      </c>
      <c r="D68" s="446">
        <v>29.39</v>
      </c>
      <c r="E68" s="134">
        <v>1</v>
      </c>
      <c r="F68" s="135">
        <v>17816868</v>
      </c>
      <c r="G68" s="223">
        <f>IF(ISBLANK(F68),"-",(F68/$D$50*$D$47*$B$68)*($B$57/$D$68))</f>
        <v>58.893173441327583</v>
      </c>
      <c r="H68" s="138">
        <f t="shared" si="0"/>
        <v>0.98155289068879303</v>
      </c>
    </row>
    <row r="69" spans="1:8" ht="27" customHeight="1" x14ac:dyDescent="0.4">
      <c r="A69" s="124" t="s">
        <v>105</v>
      </c>
      <c r="B69" s="146">
        <f>(D47*B68)/B56*B57</f>
        <v>29.840499999999999</v>
      </c>
      <c r="C69" s="444"/>
      <c r="D69" s="447"/>
      <c r="E69" s="137">
        <v>2</v>
      </c>
      <c r="F69" s="89">
        <v>17796567</v>
      </c>
      <c r="G69" s="224">
        <f>IF(ISBLANK(F69),"-",(F69/$D$50*$D$47*$B$68)*($B$57/$D$68))</f>
        <v>58.826069037005091</v>
      </c>
      <c r="H69" s="138">
        <f t="shared" si="0"/>
        <v>0.98043448395008481</v>
      </c>
    </row>
    <row r="70" spans="1:8" ht="26.25" customHeight="1" x14ac:dyDescent="0.4">
      <c r="A70" s="449" t="s">
        <v>78</v>
      </c>
      <c r="B70" s="450"/>
      <c r="C70" s="444"/>
      <c r="D70" s="447"/>
      <c r="E70" s="137">
        <v>3</v>
      </c>
      <c r="F70" s="89">
        <v>17771158</v>
      </c>
      <c r="G70" s="224">
        <f>IF(ISBLANK(F70),"-",(F70/$D$50*$D$47*$B$68)*($B$57/$D$68))</f>
        <v>58.742080277366156</v>
      </c>
      <c r="H70" s="138">
        <f t="shared" si="0"/>
        <v>0.97903467128943589</v>
      </c>
    </row>
    <row r="71" spans="1:8" ht="27" customHeight="1" x14ac:dyDescent="0.4">
      <c r="A71" s="451"/>
      <c r="B71" s="452"/>
      <c r="C71" s="445"/>
      <c r="D71" s="44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59.448005339613047</v>
      </c>
      <c r="H72" s="151">
        <f>AVERAGE(H60:H71)</f>
        <v>0.99080008899355088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1.1792861581875059E-2</v>
      </c>
      <c r="H73" s="226">
        <f>STDEV(H60:H71)/H72</f>
        <v>1.1792861581875074E-2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430" t="str">
        <f>B20</f>
        <v>Rifampicin</v>
      </c>
      <c r="D76" s="430"/>
      <c r="E76" s="157" t="s">
        <v>108</v>
      </c>
      <c r="F76" s="157"/>
      <c r="G76" s="158">
        <f>H72</f>
        <v>0.99080008899355088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3" t="str">
        <f>B26</f>
        <v>Rifampicin</v>
      </c>
      <c r="C79" s="453"/>
    </row>
    <row r="80" spans="1:8" ht="26.25" customHeight="1" x14ac:dyDescent="0.4">
      <c r="A80" s="61" t="s">
        <v>48</v>
      </c>
      <c r="B80" s="453" t="str">
        <f>B27</f>
        <v>R5-1</v>
      </c>
      <c r="C80" s="453"/>
    </row>
    <row r="81" spans="1:12" ht="27" customHeight="1" x14ac:dyDescent="0.4">
      <c r="A81" s="61" t="s">
        <v>6</v>
      </c>
      <c r="B81" s="160">
        <f>B28</f>
        <v>99.6</v>
      </c>
    </row>
    <row r="82" spans="1:12" s="3" customFormat="1" ht="27" customHeight="1" x14ac:dyDescent="0.4">
      <c r="A82" s="61" t="s">
        <v>49</v>
      </c>
      <c r="B82" s="63">
        <v>0</v>
      </c>
      <c r="C82" s="432" t="s">
        <v>50</v>
      </c>
      <c r="D82" s="433"/>
      <c r="E82" s="433"/>
      <c r="F82" s="433"/>
      <c r="G82" s="43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35" t="s">
        <v>111</v>
      </c>
      <c r="D84" s="436"/>
      <c r="E84" s="436"/>
      <c r="F84" s="436"/>
      <c r="G84" s="436"/>
      <c r="H84" s="43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35" t="s">
        <v>112</v>
      </c>
      <c r="D85" s="436"/>
      <c r="E85" s="436"/>
      <c r="F85" s="436"/>
      <c r="G85" s="436"/>
      <c r="H85" s="43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438" t="s">
        <v>60</v>
      </c>
      <c r="G89" s="439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25</v>
      </c>
      <c r="C91" s="165">
        <v>1</v>
      </c>
      <c r="D91" s="84">
        <v>16791448</v>
      </c>
      <c r="E91" s="85">
        <f>IF(ISBLANK(D91),"-",$D$101/$D$98*D91)</f>
        <v>20584717.379898105</v>
      </c>
      <c r="F91" s="84">
        <v>19459048</v>
      </c>
      <c r="G91" s="86">
        <f>IF(ISBLANK(F91),"-",$D$101/$F$98*F91)</f>
        <v>20237411.215194322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16627214</v>
      </c>
      <c r="E92" s="90">
        <f>IF(ISBLANK(D92),"-",$D$101/$D$98*D92)</f>
        <v>20383382.124345981</v>
      </c>
      <c r="F92" s="89">
        <v>19476663</v>
      </c>
      <c r="G92" s="91">
        <f>IF(ISBLANK(F92),"-",$D$101/$F$98*F92)</f>
        <v>20255730.816366777</v>
      </c>
      <c r="I92" s="440">
        <f>ABS((F96/D96*D95)-F95)/D95</f>
        <v>5.9363069562656393E-3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16567979</v>
      </c>
      <c r="E93" s="90">
        <f>IF(ISBLANK(D93),"-",$D$101/$D$98*D93)</f>
        <v>20310765.6511271</v>
      </c>
      <c r="F93" s="89">
        <v>20283007</v>
      </c>
      <c r="G93" s="91">
        <f>IF(ISBLANK(F93),"-",$D$101/$F$98*F93)</f>
        <v>21094328.630037036</v>
      </c>
      <c r="I93" s="440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16662213.666666666</v>
      </c>
      <c r="E95" s="100">
        <f>AVERAGE(E91:E94)</f>
        <v>20426288.38512373</v>
      </c>
      <c r="F95" s="170">
        <f>AVERAGE(F91:F94)</f>
        <v>19739572.666666668</v>
      </c>
      <c r="G95" s="171">
        <f>AVERAGE(G91:G94)</f>
        <v>20529156.887199376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13.65</v>
      </c>
      <c r="E96" s="92"/>
      <c r="F96" s="104">
        <v>16.09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13.65</v>
      </c>
      <c r="E97" s="107"/>
      <c r="F97" s="106">
        <f>F96*$B$87</f>
        <v>16.09</v>
      </c>
    </row>
    <row r="98" spans="1:10" ht="19.5" customHeight="1" x14ac:dyDescent="0.3">
      <c r="A98" s="76" t="s">
        <v>76</v>
      </c>
      <c r="B98" s="176">
        <f>(B97/B96)*(B95/B94)*(B93/B92)*(B91/B90)*B89</f>
        <v>250</v>
      </c>
      <c r="C98" s="174" t="s">
        <v>115</v>
      </c>
      <c r="D98" s="177">
        <f>D97*$B$83/100</f>
        <v>13.5954</v>
      </c>
      <c r="E98" s="110"/>
      <c r="F98" s="109">
        <f>F97*$B$83/100</f>
        <v>16.025639999999999</v>
      </c>
    </row>
    <row r="99" spans="1:10" ht="19.5" customHeight="1" x14ac:dyDescent="0.3">
      <c r="A99" s="426" t="s">
        <v>78</v>
      </c>
      <c r="B99" s="441"/>
      <c r="C99" s="174" t="s">
        <v>116</v>
      </c>
      <c r="D99" s="178">
        <f>D98/$B$98</f>
        <v>5.4381600000000002E-2</v>
      </c>
      <c r="E99" s="110"/>
      <c r="F99" s="113">
        <f>F98/$B$98</f>
        <v>6.4102560000000003E-2</v>
      </c>
      <c r="G99" s="179"/>
      <c r="H99" s="102"/>
    </row>
    <row r="100" spans="1:10" ht="19.5" customHeight="1" x14ac:dyDescent="0.3">
      <c r="A100" s="428"/>
      <c r="B100" s="442"/>
      <c r="C100" s="174" t="s">
        <v>80</v>
      </c>
      <c r="D100" s="180">
        <f>$B$56/$B$116</f>
        <v>6.6666666666666666E-2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20477722.636161555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1.5980672450924417E-2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18101274</v>
      </c>
      <c r="E108" s="227">
        <f t="shared" ref="E108:E113" si="1">IF(ISBLANK(D108),"-",D108/$D$103*$D$100*$B$116)</f>
        <v>53.036973851872595</v>
      </c>
      <c r="F108" s="197">
        <f t="shared" ref="F108:F113" si="2">IF(ISBLANK(D108), "-", E108/$B$56)</f>
        <v>0.88394956419787662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17839571</v>
      </c>
      <c r="E109" s="228">
        <f t="shared" si="1"/>
        <v>52.270180577103289</v>
      </c>
      <c r="F109" s="198">
        <f t="shared" si="2"/>
        <v>0.87116967628505482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18045500</v>
      </c>
      <c r="E110" s="228">
        <f t="shared" si="1"/>
        <v>52.873555289200475</v>
      </c>
      <c r="F110" s="198">
        <f t="shared" si="2"/>
        <v>0.88122592148667456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17655856</v>
      </c>
      <c r="E111" s="228">
        <f t="shared" si="1"/>
        <v>51.731893180801968</v>
      </c>
      <c r="F111" s="198">
        <f t="shared" si="2"/>
        <v>0.86219821968003285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17793732</v>
      </c>
      <c r="E112" s="228">
        <f t="shared" si="1"/>
        <v>52.135871696723044</v>
      </c>
      <c r="F112" s="198">
        <f t="shared" si="2"/>
        <v>0.86893119494538407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17603808</v>
      </c>
      <c r="E113" s="229">
        <f t="shared" si="1"/>
        <v>51.579391847744283</v>
      </c>
      <c r="F113" s="201">
        <f t="shared" si="2"/>
        <v>0.85965653079573801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52.271311073907604</v>
      </c>
      <c r="F115" s="204">
        <f>AVERAGE(F108:F113)</f>
        <v>0.87118851789846019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1.1275929053023281E-2</v>
      </c>
      <c r="F116" s="206">
        <f>STDEV(F108:F113)/F115</f>
        <v>1.1275929053023289E-2</v>
      </c>
      <c r="I116" s="50"/>
    </row>
    <row r="117" spans="1:10" ht="27" customHeight="1" x14ac:dyDescent="0.4">
      <c r="A117" s="426" t="s">
        <v>78</v>
      </c>
      <c r="B117" s="427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28"/>
      <c r="B118" s="429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430" t="str">
        <f>B20</f>
        <v>Rifampicin</v>
      </c>
      <c r="D120" s="430"/>
      <c r="E120" s="157" t="s">
        <v>124</v>
      </c>
      <c r="F120" s="157"/>
      <c r="G120" s="158">
        <f>F115</f>
        <v>0.87118851789846019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31" t="s">
        <v>26</v>
      </c>
      <c r="C122" s="431"/>
      <c r="E122" s="163" t="s">
        <v>27</v>
      </c>
      <c r="F122" s="212"/>
      <c r="G122" s="431" t="s">
        <v>28</v>
      </c>
      <c r="H122" s="431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510" customWidth="1"/>
    <col min="2" max="2" width="20.42578125" style="510" customWidth="1"/>
    <col min="3" max="3" width="31.85546875" style="510" customWidth="1"/>
    <col min="4" max="4" width="25.85546875" style="510" customWidth="1"/>
    <col min="5" max="5" width="25.7109375" style="510" customWidth="1"/>
    <col min="6" max="6" width="23.140625" style="510" customWidth="1"/>
    <col min="7" max="7" width="28.42578125" style="510" customWidth="1"/>
    <col min="8" max="8" width="21.5703125" style="510" customWidth="1"/>
    <col min="9" max="9" width="9.140625" style="510" customWidth="1"/>
    <col min="10" max="16384" width="9.140625" style="547"/>
  </cols>
  <sheetData>
    <row r="14" spans="1:6" ht="15" customHeight="1" x14ac:dyDescent="0.3">
      <c r="A14" s="509"/>
      <c r="C14" s="511"/>
      <c r="F14" s="511"/>
    </row>
    <row r="15" spans="1:6" ht="18.75" customHeight="1" x14ac:dyDescent="0.3">
      <c r="A15" s="512" t="s">
        <v>0</v>
      </c>
      <c r="B15" s="512"/>
      <c r="C15" s="512"/>
      <c r="D15" s="512"/>
      <c r="E15" s="512"/>
    </row>
    <row r="16" spans="1:6" ht="16.5" customHeight="1" x14ac:dyDescent="0.3">
      <c r="A16" s="513" t="s">
        <v>1</v>
      </c>
      <c r="B16" s="514" t="s">
        <v>2</v>
      </c>
    </row>
    <row r="17" spans="1:5" ht="16.5" customHeight="1" x14ac:dyDescent="0.3">
      <c r="A17" s="515" t="s">
        <v>3</v>
      </c>
      <c r="B17" s="515" t="s">
        <v>5</v>
      </c>
      <c r="D17" s="516"/>
      <c r="E17" s="517"/>
    </row>
    <row r="18" spans="1:5" ht="16.5" customHeight="1" x14ac:dyDescent="0.3">
      <c r="A18" s="518" t="s">
        <v>4</v>
      </c>
      <c r="B18" s="515" t="s">
        <v>125</v>
      </c>
      <c r="C18" s="517"/>
      <c r="D18" s="517"/>
      <c r="E18" s="517"/>
    </row>
    <row r="19" spans="1:5" ht="16.5" customHeight="1" x14ac:dyDescent="0.3">
      <c r="A19" s="518" t="s">
        <v>6</v>
      </c>
      <c r="B19" s="519">
        <v>98.5</v>
      </c>
      <c r="C19" s="517"/>
      <c r="D19" s="517"/>
      <c r="E19" s="517"/>
    </row>
    <row r="20" spans="1:5" ht="16.5" customHeight="1" x14ac:dyDescent="0.3">
      <c r="A20" s="515" t="s">
        <v>8</v>
      </c>
      <c r="B20" s="519">
        <v>14.18</v>
      </c>
      <c r="C20" s="517"/>
      <c r="D20" s="517"/>
      <c r="E20" s="517"/>
    </row>
    <row r="21" spans="1:5" ht="16.5" customHeight="1" x14ac:dyDescent="0.3">
      <c r="A21" s="515" t="s">
        <v>10</v>
      </c>
      <c r="B21" s="520">
        <f>14.18/50*5/25</f>
        <v>5.6720000000000007E-2</v>
      </c>
      <c r="C21" s="517"/>
      <c r="D21" s="517"/>
      <c r="E21" s="517"/>
    </row>
    <row r="22" spans="1:5" ht="15.75" customHeight="1" x14ac:dyDescent="0.25">
      <c r="A22" s="517"/>
      <c r="B22" s="517"/>
      <c r="C22" s="517"/>
      <c r="D22" s="517"/>
      <c r="E22" s="517"/>
    </row>
    <row r="23" spans="1:5" ht="16.5" customHeight="1" x14ac:dyDescent="0.3">
      <c r="A23" s="521" t="s">
        <v>13</v>
      </c>
      <c r="B23" s="522" t="s">
        <v>14</v>
      </c>
      <c r="C23" s="521" t="s">
        <v>15</v>
      </c>
      <c r="D23" s="521" t="s">
        <v>16</v>
      </c>
      <c r="E23" s="521" t="s">
        <v>17</v>
      </c>
    </row>
    <row r="24" spans="1:5" ht="16.5" customHeight="1" x14ac:dyDescent="0.3">
      <c r="A24" s="523">
        <v>1</v>
      </c>
      <c r="B24" s="524">
        <v>19317987</v>
      </c>
      <c r="C24" s="524">
        <v>8958.5</v>
      </c>
      <c r="D24" s="525">
        <v>1.1000000000000001</v>
      </c>
      <c r="E24" s="526">
        <v>2.9</v>
      </c>
    </row>
    <row r="25" spans="1:5" ht="16.5" customHeight="1" x14ac:dyDescent="0.3">
      <c r="A25" s="523">
        <v>2</v>
      </c>
      <c r="B25" s="524">
        <v>19309399</v>
      </c>
      <c r="C25" s="524">
        <v>8962.9</v>
      </c>
      <c r="D25" s="525">
        <v>1.1000000000000001</v>
      </c>
      <c r="E25" s="525">
        <v>2.9</v>
      </c>
    </row>
    <row r="26" spans="1:5" ht="16.5" customHeight="1" x14ac:dyDescent="0.3">
      <c r="A26" s="523">
        <v>3</v>
      </c>
      <c r="B26" s="524">
        <v>19288898</v>
      </c>
      <c r="C26" s="524">
        <v>8963.4</v>
      </c>
      <c r="D26" s="525">
        <v>1.1000000000000001</v>
      </c>
      <c r="E26" s="525">
        <v>2.9</v>
      </c>
    </row>
    <row r="27" spans="1:5" ht="16.5" customHeight="1" x14ac:dyDescent="0.3">
      <c r="A27" s="523">
        <v>4</v>
      </c>
      <c r="B27" s="524">
        <v>19256365</v>
      </c>
      <c r="C27" s="524">
        <v>8989.2999999999993</v>
      </c>
      <c r="D27" s="525">
        <v>1.1000000000000001</v>
      </c>
      <c r="E27" s="525">
        <v>2.9</v>
      </c>
    </row>
    <row r="28" spans="1:5" ht="16.5" customHeight="1" x14ac:dyDescent="0.3">
      <c r="A28" s="523">
        <v>5</v>
      </c>
      <c r="B28" s="524">
        <v>19259941</v>
      </c>
      <c r="C28" s="524">
        <v>8957.2999999999993</v>
      </c>
      <c r="D28" s="525">
        <v>1.1000000000000001</v>
      </c>
      <c r="E28" s="525">
        <v>2.9</v>
      </c>
    </row>
    <row r="29" spans="1:5" ht="16.5" customHeight="1" x14ac:dyDescent="0.3">
      <c r="A29" s="523">
        <v>6</v>
      </c>
      <c r="B29" s="527">
        <v>19242197</v>
      </c>
      <c r="C29" s="527">
        <v>8969.7000000000007</v>
      </c>
      <c r="D29" s="528">
        <v>1.1000000000000001</v>
      </c>
      <c r="E29" s="528">
        <v>2.9</v>
      </c>
    </row>
    <row r="30" spans="1:5" ht="16.5" customHeight="1" x14ac:dyDescent="0.3">
      <c r="A30" s="529" t="s">
        <v>18</v>
      </c>
      <c r="B30" s="530">
        <f>AVERAGE(B24:B29)</f>
        <v>19279131.166666668</v>
      </c>
      <c r="C30" s="531">
        <f>AVERAGE(C24:C29)</f>
        <v>8966.85</v>
      </c>
      <c r="D30" s="532">
        <v>1.1000000000000001</v>
      </c>
      <c r="E30" s="532">
        <f>AVERAGE(E24:E29)</f>
        <v>2.9</v>
      </c>
    </row>
    <row r="31" spans="1:5" ht="16.5" customHeight="1" x14ac:dyDescent="0.3">
      <c r="A31" s="533" t="s">
        <v>19</v>
      </c>
      <c r="B31" s="534">
        <f>(STDEV(B24:B29)/B30)</f>
        <v>1.6024255132227533E-3</v>
      </c>
      <c r="C31" s="535"/>
      <c r="D31" s="535"/>
      <c r="E31" s="536"/>
    </row>
    <row r="32" spans="1:5" s="510" customFormat="1" ht="16.5" customHeight="1" x14ac:dyDescent="0.3">
      <c r="A32" s="537" t="s">
        <v>20</v>
      </c>
      <c r="B32" s="538">
        <f>COUNT(B24:B29)</f>
        <v>6</v>
      </c>
      <c r="C32" s="539"/>
      <c r="D32" s="540"/>
      <c r="E32" s="541"/>
    </row>
    <row r="33" spans="1:5" s="510" customFormat="1" ht="15.75" customHeight="1" x14ac:dyDescent="0.25">
      <c r="A33" s="517"/>
      <c r="B33" s="517"/>
      <c r="C33" s="517"/>
      <c r="D33" s="517"/>
      <c r="E33" s="517"/>
    </row>
    <row r="34" spans="1:5" s="510" customFormat="1" ht="16.5" customHeight="1" x14ac:dyDescent="0.3">
      <c r="A34" s="518" t="s">
        <v>21</v>
      </c>
      <c r="B34" s="542" t="s">
        <v>22</v>
      </c>
      <c r="C34" s="543"/>
      <c r="D34" s="543"/>
      <c r="E34" s="543"/>
    </row>
    <row r="35" spans="1:5" ht="16.5" customHeight="1" x14ac:dyDescent="0.3">
      <c r="A35" s="518"/>
      <c r="B35" s="542" t="s">
        <v>23</v>
      </c>
      <c r="C35" s="543"/>
      <c r="D35" s="543"/>
      <c r="E35" s="543"/>
    </row>
    <row r="36" spans="1:5" ht="16.5" customHeight="1" x14ac:dyDescent="0.3">
      <c r="A36" s="518"/>
      <c r="B36" s="542" t="s">
        <v>24</v>
      </c>
      <c r="C36" s="543"/>
      <c r="D36" s="543"/>
      <c r="E36" s="543"/>
    </row>
    <row r="37" spans="1:5" ht="15.75" customHeight="1" x14ac:dyDescent="0.25">
      <c r="A37" s="517"/>
      <c r="B37" s="517"/>
      <c r="C37" s="517"/>
      <c r="D37" s="517"/>
      <c r="E37" s="517"/>
    </row>
    <row r="38" spans="1:5" ht="16.5" customHeight="1" x14ac:dyDescent="0.3">
      <c r="A38" s="513" t="s">
        <v>1</v>
      </c>
      <c r="B38" s="514" t="s">
        <v>25</v>
      </c>
    </row>
    <row r="39" spans="1:5" ht="16.5" customHeight="1" x14ac:dyDescent="0.3">
      <c r="A39" s="518" t="s">
        <v>4</v>
      </c>
      <c r="C39" s="517"/>
      <c r="D39" s="517"/>
      <c r="E39" s="517"/>
    </row>
    <row r="40" spans="1:5" ht="16.5" customHeight="1" x14ac:dyDescent="0.3">
      <c r="A40" s="518" t="s">
        <v>6</v>
      </c>
      <c r="B40" s="519"/>
      <c r="C40" s="517"/>
      <c r="D40" s="517"/>
      <c r="E40" s="517"/>
    </row>
    <row r="41" spans="1:5" ht="16.5" customHeight="1" x14ac:dyDescent="0.3">
      <c r="A41" s="515" t="s">
        <v>8</v>
      </c>
      <c r="B41" s="519"/>
      <c r="C41" s="517"/>
      <c r="D41" s="517"/>
      <c r="E41" s="517"/>
    </row>
    <row r="42" spans="1:5" ht="16.5" customHeight="1" x14ac:dyDescent="0.3">
      <c r="A42" s="515" t="s">
        <v>10</v>
      </c>
      <c r="B42" s="520"/>
      <c r="C42" s="517"/>
      <c r="D42" s="517"/>
      <c r="E42" s="517"/>
    </row>
    <row r="43" spans="1:5" ht="15.75" customHeight="1" x14ac:dyDescent="0.25">
      <c r="A43" s="517"/>
      <c r="B43" s="517"/>
      <c r="C43" s="517"/>
      <c r="D43" s="517"/>
      <c r="E43" s="517"/>
    </row>
    <row r="44" spans="1:5" ht="16.5" customHeight="1" x14ac:dyDescent="0.3">
      <c r="A44" s="521" t="s">
        <v>13</v>
      </c>
      <c r="B44" s="522" t="s">
        <v>14</v>
      </c>
      <c r="C44" s="521" t="s">
        <v>15</v>
      </c>
      <c r="D44" s="521" t="s">
        <v>16</v>
      </c>
      <c r="E44" s="521" t="s">
        <v>17</v>
      </c>
    </row>
    <row r="45" spans="1:5" ht="16.5" customHeight="1" x14ac:dyDescent="0.3">
      <c r="A45" s="523">
        <v>1</v>
      </c>
      <c r="B45" s="524"/>
      <c r="C45" s="524"/>
      <c r="D45" s="525"/>
      <c r="E45" s="526"/>
    </row>
    <row r="46" spans="1:5" ht="16.5" customHeight="1" x14ac:dyDescent="0.3">
      <c r="A46" s="523">
        <v>2</v>
      </c>
      <c r="B46" s="524"/>
      <c r="C46" s="524"/>
      <c r="D46" s="525"/>
      <c r="E46" s="525"/>
    </row>
    <row r="47" spans="1:5" ht="16.5" customHeight="1" x14ac:dyDescent="0.3">
      <c r="A47" s="523">
        <v>3</v>
      </c>
      <c r="B47" s="524"/>
      <c r="C47" s="524"/>
      <c r="D47" s="525"/>
      <c r="E47" s="525"/>
    </row>
    <row r="48" spans="1:5" ht="16.5" customHeight="1" x14ac:dyDescent="0.3">
      <c r="A48" s="523">
        <v>4</v>
      </c>
      <c r="B48" s="524"/>
      <c r="C48" s="524"/>
      <c r="D48" s="525"/>
      <c r="E48" s="525"/>
    </row>
    <row r="49" spans="1:7" ht="16.5" customHeight="1" x14ac:dyDescent="0.3">
      <c r="A49" s="523">
        <v>5</v>
      </c>
      <c r="B49" s="524"/>
      <c r="C49" s="524"/>
      <c r="D49" s="525"/>
      <c r="E49" s="525"/>
    </row>
    <row r="50" spans="1:7" ht="16.5" customHeight="1" x14ac:dyDescent="0.3">
      <c r="A50" s="523">
        <v>6</v>
      </c>
      <c r="B50" s="527"/>
      <c r="C50" s="527"/>
      <c r="D50" s="528"/>
      <c r="E50" s="528"/>
    </row>
    <row r="51" spans="1:7" ht="16.5" customHeight="1" x14ac:dyDescent="0.3">
      <c r="A51" s="529" t="s">
        <v>18</v>
      </c>
      <c r="B51" s="530" t="e">
        <f>AVERAGE(B45:B50)</f>
        <v>#DIV/0!</v>
      </c>
      <c r="C51" s="531" t="e">
        <f>AVERAGE(C45:C50)</f>
        <v>#DIV/0!</v>
      </c>
      <c r="D51" s="532" t="e">
        <f>AVERAGE(D45:D50)</f>
        <v>#DIV/0!</v>
      </c>
      <c r="E51" s="532" t="e">
        <f>AVERAGE(E45:E50)</f>
        <v>#DIV/0!</v>
      </c>
    </row>
    <row r="52" spans="1:7" ht="16.5" customHeight="1" x14ac:dyDescent="0.3">
      <c r="A52" s="533" t="s">
        <v>19</v>
      </c>
      <c r="B52" s="534" t="e">
        <f>(STDEV(B45:B50)/B51)</f>
        <v>#DIV/0!</v>
      </c>
      <c r="C52" s="535"/>
      <c r="D52" s="535"/>
      <c r="E52" s="536"/>
    </row>
    <row r="53" spans="1:7" s="510" customFormat="1" ht="16.5" customHeight="1" x14ac:dyDescent="0.3">
      <c r="A53" s="537" t="s">
        <v>20</v>
      </c>
      <c r="B53" s="538">
        <f>COUNT(B45:B50)</f>
        <v>0</v>
      </c>
      <c r="C53" s="539"/>
      <c r="D53" s="540"/>
      <c r="E53" s="541"/>
    </row>
    <row r="54" spans="1:7" s="510" customFormat="1" ht="15.75" customHeight="1" x14ac:dyDescent="0.25">
      <c r="A54" s="517"/>
      <c r="B54" s="517"/>
      <c r="C54" s="517"/>
      <c r="D54" s="517"/>
      <c r="E54" s="517"/>
    </row>
    <row r="55" spans="1:7" s="510" customFormat="1" ht="16.5" customHeight="1" x14ac:dyDescent="0.3">
      <c r="A55" s="518" t="s">
        <v>21</v>
      </c>
      <c r="B55" s="542" t="s">
        <v>22</v>
      </c>
      <c r="C55" s="543"/>
      <c r="D55" s="543"/>
      <c r="E55" s="543"/>
    </row>
    <row r="56" spans="1:7" ht="16.5" customHeight="1" x14ac:dyDescent="0.3">
      <c r="A56" s="518"/>
      <c r="B56" s="542" t="s">
        <v>23</v>
      </c>
      <c r="C56" s="543"/>
      <c r="D56" s="543"/>
      <c r="E56" s="543"/>
    </row>
    <row r="57" spans="1:7" ht="16.5" customHeight="1" x14ac:dyDescent="0.3">
      <c r="A57" s="518"/>
      <c r="B57" s="542" t="s">
        <v>24</v>
      </c>
      <c r="C57" s="543"/>
      <c r="D57" s="543"/>
      <c r="E57" s="543"/>
    </row>
    <row r="58" spans="1:7" ht="14.25" customHeight="1" thickBot="1" x14ac:dyDescent="0.3">
      <c r="A58" s="544"/>
      <c r="B58" s="545"/>
      <c r="D58" s="546"/>
      <c r="F58" s="547"/>
      <c r="G58" s="547"/>
    </row>
    <row r="59" spans="1:7" ht="15" customHeight="1" x14ac:dyDescent="0.3">
      <c r="B59" s="548" t="s">
        <v>26</v>
      </c>
      <c r="C59" s="548"/>
      <c r="E59" s="549" t="s">
        <v>27</v>
      </c>
      <c r="F59" s="550"/>
      <c r="G59" s="549" t="s">
        <v>28</v>
      </c>
    </row>
    <row r="60" spans="1:7" ht="15" customHeight="1" x14ac:dyDescent="0.3">
      <c r="A60" s="551" t="s">
        <v>29</v>
      </c>
      <c r="B60" s="552" t="s">
        <v>130</v>
      </c>
      <c r="C60" s="552"/>
      <c r="E60" s="552" t="s">
        <v>131</v>
      </c>
      <c r="G60" s="552"/>
    </row>
    <row r="61" spans="1:7" ht="15" customHeight="1" x14ac:dyDescent="0.3">
      <c r="A61" s="551" t="s">
        <v>30</v>
      </c>
      <c r="B61" s="553"/>
      <c r="C61" s="553"/>
      <c r="E61" s="553"/>
      <c r="G61" s="5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24" t="s">
        <v>45</v>
      </c>
      <c r="B1" s="424"/>
      <c r="C1" s="424"/>
      <c r="D1" s="424"/>
      <c r="E1" s="424"/>
      <c r="F1" s="424"/>
      <c r="G1" s="424"/>
      <c r="H1" s="424"/>
      <c r="I1" s="424"/>
    </row>
    <row r="2" spans="1:9" ht="18.75" customHeight="1" x14ac:dyDescent="0.25">
      <c r="A2" s="424"/>
      <c r="B2" s="424"/>
      <c r="C2" s="424"/>
      <c r="D2" s="424"/>
      <c r="E2" s="424"/>
      <c r="F2" s="424"/>
      <c r="G2" s="424"/>
      <c r="H2" s="424"/>
      <c r="I2" s="424"/>
    </row>
    <row r="3" spans="1:9" ht="18.75" customHeight="1" x14ac:dyDescent="0.25">
      <c r="A3" s="424"/>
      <c r="B3" s="424"/>
      <c r="C3" s="424"/>
      <c r="D3" s="424"/>
      <c r="E3" s="424"/>
      <c r="F3" s="424"/>
      <c r="G3" s="424"/>
      <c r="H3" s="424"/>
      <c r="I3" s="424"/>
    </row>
    <row r="4" spans="1:9" ht="18.75" customHeight="1" x14ac:dyDescent="0.25">
      <c r="A4" s="424"/>
      <c r="B4" s="424"/>
      <c r="C4" s="424"/>
      <c r="D4" s="424"/>
      <c r="E4" s="424"/>
      <c r="F4" s="424"/>
      <c r="G4" s="424"/>
      <c r="H4" s="424"/>
      <c r="I4" s="424"/>
    </row>
    <row r="5" spans="1:9" ht="18.75" customHeight="1" x14ac:dyDescent="0.25">
      <c r="A5" s="424"/>
      <c r="B5" s="424"/>
      <c r="C5" s="424"/>
      <c r="D5" s="424"/>
      <c r="E5" s="424"/>
      <c r="F5" s="424"/>
      <c r="G5" s="424"/>
      <c r="H5" s="424"/>
      <c r="I5" s="424"/>
    </row>
    <row r="6" spans="1:9" ht="18.75" customHeight="1" x14ac:dyDescent="0.25">
      <c r="A6" s="424"/>
      <c r="B6" s="424"/>
      <c r="C6" s="424"/>
      <c r="D6" s="424"/>
      <c r="E6" s="424"/>
      <c r="F6" s="424"/>
      <c r="G6" s="424"/>
      <c r="H6" s="424"/>
      <c r="I6" s="424"/>
    </row>
    <row r="7" spans="1:9" ht="18.75" customHeight="1" x14ac:dyDescent="0.25">
      <c r="A7" s="424"/>
      <c r="B7" s="424"/>
      <c r="C7" s="424"/>
      <c r="D7" s="424"/>
      <c r="E7" s="424"/>
      <c r="F7" s="424"/>
      <c r="G7" s="424"/>
      <c r="H7" s="424"/>
      <c r="I7" s="424"/>
    </row>
    <row r="8" spans="1:9" x14ac:dyDescent="0.25">
      <c r="A8" s="425" t="s">
        <v>46</v>
      </c>
      <c r="B8" s="425"/>
      <c r="C8" s="425"/>
      <c r="D8" s="425"/>
      <c r="E8" s="425"/>
      <c r="F8" s="425"/>
      <c r="G8" s="425"/>
      <c r="H8" s="425"/>
      <c r="I8" s="425"/>
    </row>
    <row r="9" spans="1:9" x14ac:dyDescent="0.25">
      <c r="A9" s="425"/>
      <c r="B9" s="425"/>
      <c r="C9" s="425"/>
      <c r="D9" s="425"/>
      <c r="E9" s="425"/>
      <c r="F9" s="425"/>
      <c r="G9" s="425"/>
      <c r="H9" s="425"/>
      <c r="I9" s="425"/>
    </row>
    <row r="10" spans="1:9" x14ac:dyDescent="0.25">
      <c r="A10" s="425"/>
      <c r="B10" s="425"/>
      <c r="C10" s="425"/>
      <c r="D10" s="425"/>
      <c r="E10" s="425"/>
      <c r="F10" s="425"/>
      <c r="G10" s="425"/>
      <c r="H10" s="425"/>
      <c r="I10" s="425"/>
    </row>
    <row r="11" spans="1:9" x14ac:dyDescent="0.25">
      <c r="A11" s="425"/>
      <c r="B11" s="425"/>
      <c r="C11" s="425"/>
      <c r="D11" s="425"/>
      <c r="E11" s="425"/>
      <c r="F11" s="425"/>
      <c r="G11" s="425"/>
      <c r="H11" s="425"/>
      <c r="I11" s="425"/>
    </row>
    <row r="12" spans="1:9" x14ac:dyDescent="0.25">
      <c r="A12" s="425"/>
      <c r="B12" s="425"/>
      <c r="C12" s="425"/>
      <c r="D12" s="425"/>
      <c r="E12" s="425"/>
      <c r="F12" s="425"/>
      <c r="G12" s="425"/>
      <c r="H12" s="425"/>
      <c r="I12" s="425"/>
    </row>
    <row r="13" spans="1:9" x14ac:dyDescent="0.25">
      <c r="A13" s="425"/>
      <c r="B13" s="425"/>
      <c r="C13" s="425"/>
      <c r="D13" s="425"/>
      <c r="E13" s="425"/>
      <c r="F13" s="425"/>
      <c r="G13" s="425"/>
      <c r="H13" s="425"/>
      <c r="I13" s="425"/>
    </row>
    <row r="14" spans="1:9" x14ac:dyDescent="0.25">
      <c r="A14" s="425"/>
      <c r="B14" s="425"/>
      <c r="C14" s="425"/>
      <c r="D14" s="425"/>
      <c r="E14" s="425"/>
      <c r="F14" s="425"/>
      <c r="G14" s="425"/>
      <c r="H14" s="425"/>
      <c r="I14" s="425"/>
    </row>
    <row r="15" spans="1:9" ht="19.5" customHeight="1" x14ac:dyDescent="0.3">
      <c r="A15" s="233"/>
    </row>
    <row r="16" spans="1:9" ht="19.5" customHeight="1" x14ac:dyDescent="0.3">
      <c r="A16" s="458" t="s">
        <v>31</v>
      </c>
      <c r="B16" s="459"/>
      <c r="C16" s="459"/>
      <c r="D16" s="459"/>
      <c r="E16" s="459"/>
      <c r="F16" s="459"/>
      <c r="G16" s="459"/>
      <c r="H16" s="460"/>
    </row>
    <row r="17" spans="1:14" ht="20.25" customHeight="1" x14ac:dyDescent="0.25">
      <c r="A17" s="461" t="s">
        <v>47</v>
      </c>
      <c r="B17" s="461"/>
      <c r="C17" s="461"/>
      <c r="D17" s="461"/>
      <c r="E17" s="461"/>
      <c r="F17" s="461"/>
      <c r="G17" s="461"/>
      <c r="H17" s="461"/>
    </row>
    <row r="18" spans="1:14" ht="26.25" customHeight="1" x14ac:dyDescent="0.4">
      <c r="A18" s="235" t="s">
        <v>33</v>
      </c>
      <c r="B18" s="457" t="s">
        <v>5</v>
      </c>
      <c r="C18" s="457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462" t="s">
        <v>127</v>
      </c>
      <c r="C20" s="462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462" t="s">
        <v>11</v>
      </c>
      <c r="C21" s="462"/>
      <c r="D21" s="462"/>
      <c r="E21" s="462"/>
      <c r="F21" s="462"/>
      <c r="G21" s="462"/>
      <c r="H21" s="462"/>
      <c r="I21" s="239"/>
    </row>
    <row r="22" spans="1:14" ht="26.25" customHeight="1" x14ac:dyDescent="0.4">
      <c r="A22" s="235" t="s">
        <v>37</v>
      </c>
      <c r="B22" s="240">
        <v>42532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>
        <v>42533</v>
      </c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57" t="s">
        <v>125</v>
      </c>
      <c r="C26" s="457"/>
    </row>
    <row r="27" spans="1:14" ht="26.25" customHeight="1" x14ac:dyDescent="0.4">
      <c r="A27" s="244" t="s">
        <v>48</v>
      </c>
      <c r="B27" s="455" t="s">
        <v>126</v>
      </c>
      <c r="C27" s="455"/>
    </row>
    <row r="28" spans="1:14" ht="27" customHeight="1" x14ac:dyDescent="0.4">
      <c r="A28" s="244" t="s">
        <v>6</v>
      </c>
      <c r="B28" s="245">
        <v>98.5</v>
      </c>
    </row>
    <row r="29" spans="1:14" s="3" customFormat="1" ht="27" customHeight="1" x14ac:dyDescent="0.4">
      <c r="A29" s="244" t="s">
        <v>49</v>
      </c>
      <c r="B29" s="246">
        <v>0</v>
      </c>
      <c r="C29" s="432" t="s">
        <v>50</v>
      </c>
      <c r="D29" s="433"/>
      <c r="E29" s="433"/>
      <c r="F29" s="433"/>
      <c r="G29" s="434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98.5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435" t="s">
        <v>53</v>
      </c>
      <c r="D31" s="436"/>
      <c r="E31" s="436"/>
      <c r="F31" s="436"/>
      <c r="G31" s="436"/>
      <c r="H31" s="437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435" t="s">
        <v>55</v>
      </c>
      <c r="D32" s="436"/>
      <c r="E32" s="436"/>
      <c r="F32" s="436"/>
      <c r="G32" s="436"/>
      <c r="H32" s="43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50</v>
      </c>
      <c r="C36" s="234"/>
      <c r="D36" s="438" t="s">
        <v>59</v>
      </c>
      <c r="E36" s="456"/>
      <c r="F36" s="438" t="s">
        <v>60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5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25</v>
      </c>
      <c r="C38" s="266">
        <v>1</v>
      </c>
      <c r="D38" s="267">
        <v>19164680</v>
      </c>
      <c r="E38" s="268">
        <f>IF(ISBLANK(D38),"-",$D$48/$D$45*D38)</f>
        <v>20581658.588274039</v>
      </c>
      <c r="F38" s="267">
        <v>26871515</v>
      </c>
      <c r="G38" s="269">
        <f>IF(ISBLANK(F38),"-",$D$48/$F$45*F38)</f>
        <v>20995940.909434229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19143744</v>
      </c>
      <c r="E39" s="273">
        <f>IF(ISBLANK(D39),"-",$D$48/$D$45*D39)</f>
        <v>20559174.643631909</v>
      </c>
      <c r="F39" s="272">
        <v>26906784</v>
      </c>
      <c r="G39" s="274">
        <f>IF(ISBLANK(F39),"-",$D$48/$F$45*F39)</f>
        <v>21023498.188580371</v>
      </c>
      <c r="I39" s="440">
        <f>ABS((F43/D43*D42)-F42)/D42</f>
        <v>3.1549705464021686E-2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19143225</v>
      </c>
      <c r="E40" s="273">
        <f>IF(ISBLANK(D40),"-",$D$48/$D$45*D40)</f>
        <v>20558617.270338576</v>
      </c>
      <c r="F40" s="272">
        <v>26999914</v>
      </c>
      <c r="G40" s="274">
        <f>IF(ISBLANK(F40),"-",$D$48/$F$45*F40)</f>
        <v>21096264.907423563</v>
      </c>
      <c r="I40" s="440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19150549.666666668</v>
      </c>
      <c r="E42" s="283">
        <f>AVERAGE(E38:E41)</f>
        <v>20566483.500748176</v>
      </c>
      <c r="F42" s="282">
        <f>AVERAGE(F38:F41)</f>
        <v>26926071</v>
      </c>
      <c r="G42" s="284">
        <f>AVERAGE(G38:G41)</f>
        <v>21038568.001812723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14.18</v>
      </c>
      <c r="E43" s="275"/>
      <c r="F43" s="287">
        <v>19.489999999999998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14.18</v>
      </c>
      <c r="E44" s="290"/>
      <c r="F44" s="289">
        <f>F43*$B$34</f>
        <v>19.489999999999998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250</v>
      </c>
      <c r="C45" s="288" t="s">
        <v>77</v>
      </c>
      <c r="D45" s="292">
        <f>D44*$B$30/100</f>
        <v>13.9673</v>
      </c>
      <c r="E45" s="293"/>
      <c r="F45" s="292">
        <f>F44*$B$30/100</f>
        <v>19.197649999999999</v>
      </c>
      <c r="H45" s="285"/>
    </row>
    <row r="46" spans="1:14" ht="19.5" customHeight="1" x14ac:dyDescent="0.3">
      <c r="A46" s="426" t="s">
        <v>78</v>
      </c>
      <c r="B46" s="427"/>
      <c r="C46" s="288" t="s">
        <v>79</v>
      </c>
      <c r="D46" s="294">
        <f>D45/$B$45</f>
        <v>5.5869200000000001E-2</v>
      </c>
      <c r="E46" s="295"/>
      <c r="F46" s="296">
        <f>F45/$B$45</f>
        <v>7.6790600000000001E-2</v>
      </c>
      <c r="H46" s="285"/>
    </row>
    <row r="47" spans="1:14" ht="27" customHeight="1" x14ac:dyDescent="0.4">
      <c r="A47" s="428"/>
      <c r="B47" s="429"/>
      <c r="C47" s="297" t="s">
        <v>80</v>
      </c>
      <c r="D47" s="298">
        <v>0.06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15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15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20802525.751280446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1.2535669974859366E-2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>Each Tablet contains: Rifampicin 60mg, Isoniazid 60mg</v>
      </c>
    </row>
    <row r="56" spans="1:12" ht="26.25" customHeight="1" x14ac:dyDescent="0.4">
      <c r="A56" s="312" t="s">
        <v>87</v>
      </c>
      <c r="B56" s="313">
        <v>60</v>
      </c>
      <c r="C56" s="234" t="str">
        <f>B20</f>
        <v xml:space="preserve"> Isoniazid</v>
      </c>
      <c r="H56" s="314"/>
    </row>
    <row r="57" spans="1:12" ht="18.75" x14ac:dyDescent="0.3">
      <c r="A57" s="311" t="s">
        <v>88</v>
      </c>
      <c r="B57" s="403">
        <f>Uniformity!C46</f>
        <v>298.40499999999997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1</v>
      </c>
      <c r="C60" s="443" t="s">
        <v>94</v>
      </c>
      <c r="D60" s="446">
        <v>28.9</v>
      </c>
      <c r="E60" s="317">
        <v>1</v>
      </c>
      <c r="F60" s="318">
        <v>19987186</v>
      </c>
      <c r="G60" s="404">
        <f>IF(ISBLANK(F60),"-",(F60/$D$50*$D$47*$B$68)*($B$57/$D$60))</f>
        <v>59.524408591761691</v>
      </c>
      <c r="H60" s="319">
        <f t="shared" ref="H60:H71" si="0">IF(ISBLANK(F60),"-",G60/$B$56)</f>
        <v>0.99207347652936151</v>
      </c>
      <c r="L60" s="247"/>
    </row>
    <row r="61" spans="1:12" s="3" customFormat="1" ht="26.25" customHeight="1" x14ac:dyDescent="0.4">
      <c r="A61" s="259" t="s">
        <v>95</v>
      </c>
      <c r="B61" s="260">
        <v>1</v>
      </c>
      <c r="C61" s="444"/>
      <c r="D61" s="447"/>
      <c r="E61" s="320">
        <v>2</v>
      </c>
      <c r="F61" s="272">
        <v>20015680</v>
      </c>
      <c r="G61" s="405">
        <f>IF(ISBLANK(F61),"-",(F61/$D$50*$D$47*$B$68)*($B$57/$D$60))</f>
        <v>59.609267385711654</v>
      </c>
      <c r="H61" s="321">
        <f t="shared" si="0"/>
        <v>0.99348778976186092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444"/>
      <c r="D62" s="447"/>
      <c r="E62" s="320">
        <v>3</v>
      </c>
      <c r="F62" s="322">
        <v>19950576</v>
      </c>
      <c r="G62" s="405">
        <f>IF(ISBLANK(F62),"-",(F62/$D$50*$D$47*$B$68)*($B$57/$D$60))</f>
        <v>59.415379306771577</v>
      </c>
      <c r="H62" s="321">
        <f t="shared" si="0"/>
        <v>0.99025632177952627</v>
      </c>
      <c r="L62" s="247"/>
    </row>
    <row r="63" spans="1:12" ht="27" customHeight="1" x14ac:dyDescent="0.4">
      <c r="A63" s="259" t="s">
        <v>97</v>
      </c>
      <c r="B63" s="260">
        <v>1</v>
      </c>
      <c r="C63" s="454"/>
      <c r="D63" s="448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443" t="s">
        <v>99</v>
      </c>
      <c r="D64" s="446">
        <v>30.82</v>
      </c>
      <c r="E64" s="317">
        <v>1</v>
      </c>
      <c r="F64" s="318">
        <v>21965652</v>
      </c>
      <c r="G64" s="406">
        <f>IF(ISBLANK(F64),"-",(F64/$D$50*$D$47*$B$68)*($B$57/$D$64))</f>
        <v>61.341267037457548</v>
      </c>
      <c r="H64" s="325">
        <f t="shared" si="0"/>
        <v>1.0223544506242925</v>
      </c>
    </row>
    <row r="65" spans="1:8" ht="26.25" customHeight="1" x14ac:dyDescent="0.4">
      <c r="A65" s="259" t="s">
        <v>100</v>
      </c>
      <c r="B65" s="260">
        <v>1</v>
      </c>
      <c r="C65" s="444"/>
      <c r="D65" s="447"/>
      <c r="E65" s="320">
        <v>2</v>
      </c>
      <c r="F65" s="272">
        <v>21957472</v>
      </c>
      <c r="G65" s="407">
        <f>IF(ISBLANK(F65),"-",(F65/$D$50*$D$47*$B$68)*($B$57/$D$64))</f>
        <v>61.31842357420107</v>
      </c>
      <c r="H65" s="326">
        <f t="shared" si="0"/>
        <v>1.0219737262366846</v>
      </c>
    </row>
    <row r="66" spans="1:8" ht="26.25" customHeight="1" x14ac:dyDescent="0.4">
      <c r="A66" s="259" t="s">
        <v>101</v>
      </c>
      <c r="B66" s="260">
        <v>1</v>
      </c>
      <c r="C66" s="444"/>
      <c r="D66" s="447"/>
      <c r="E66" s="320">
        <v>3</v>
      </c>
      <c r="F66" s="272">
        <v>21937236</v>
      </c>
      <c r="G66" s="407">
        <f>IF(ISBLANK(F66),"-",(F66/$D$50*$D$47*$B$68)*($B$57/$D$64))</f>
        <v>61.261912532335813</v>
      </c>
      <c r="H66" s="326">
        <f t="shared" si="0"/>
        <v>1.0210318755389303</v>
      </c>
    </row>
    <row r="67" spans="1:8" ht="27" customHeight="1" x14ac:dyDescent="0.4">
      <c r="A67" s="259" t="s">
        <v>102</v>
      </c>
      <c r="B67" s="260">
        <v>1</v>
      </c>
      <c r="C67" s="454"/>
      <c r="D67" s="448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</v>
      </c>
      <c r="C68" s="443" t="s">
        <v>104</v>
      </c>
      <c r="D68" s="446"/>
      <c r="E68" s="317">
        <v>1</v>
      </c>
      <c r="F68" s="318"/>
      <c r="G68" s="406" t="str">
        <f>IF(ISBLANK(F68),"-",(F68/$D$50*$D$47*$B$68)*($B$57/$D$68))</f>
        <v>-</v>
      </c>
      <c r="H68" s="321" t="str">
        <f t="shared" si="0"/>
        <v>-</v>
      </c>
    </row>
    <row r="69" spans="1:8" ht="27" customHeight="1" x14ac:dyDescent="0.4">
      <c r="A69" s="307" t="s">
        <v>105</v>
      </c>
      <c r="B69" s="329">
        <f>(D47*B68)/B56*B57</f>
        <v>29.840499999999999</v>
      </c>
      <c r="C69" s="444"/>
      <c r="D69" s="447"/>
      <c r="E69" s="320">
        <v>2</v>
      </c>
      <c r="F69" s="272"/>
      <c r="G69" s="407" t="str">
        <f>IF(ISBLANK(F69),"-",(F69/$D$50*$D$47*$B$68)*($B$57/$D$68))</f>
        <v>-</v>
      </c>
      <c r="H69" s="321" t="str">
        <f t="shared" si="0"/>
        <v>-</v>
      </c>
    </row>
    <row r="70" spans="1:8" ht="26.25" customHeight="1" x14ac:dyDescent="0.4">
      <c r="A70" s="449" t="s">
        <v>78</v>
      </c>
      <c r="B70" s="450"/>
      <c r="C70" s="444"/>
      <c r="D70" s="447"/>
      <c r="E70" s="320">
        <v>3</v>
      </c>
      <c r="F70" s="272"/>
      <c r="G70" s="407" t="str">
        <f>IF(ISBLANK(F70),"-",(F70/$D$50*$D$47*$B$68)*($B$57/$D$68))</f>
        <v>-</v>
      </c>
      <c r="H70" s="321" t="str">
        <f t="shared" si="0"/>
        <v>-</v>
      </c>
    </row>
    <row r="71" spans="1:8" ht="27" customHeight="1" x14ac:dyDescent="0.4">
      <c r="A71" s="451"/>
      <c r="B71" s="452"/>
      <c r="C71" s="445"/>
      <c r="D71" s="448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60.411776404706565</v>
      </c>
      <c r="H72" s="334">
        <f>AVERAGE(H60:H71)</f>
        <v>1.0068629400784428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1.627418406030379E-2</v>
      </c>
      <c r="H73" s="409">
        <f>STDEV(H60:H71)/H72</f>
        <v>1.6274184060303825E-2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6</v>
      </c>
      <c r="H74" s="338">
        <f>COUNT(H60:H71)</f>
        <v>6</v>
      </c>
    </row>
    <row r="76" spans="1:8" ht="26.25" customHeight="1" x14ac:dyDescent="0.4">
      <c r="A76" s="243" t="s">
        <v>106</v>
      </c>
      <c r="B76" s="339" t="s">
        <v>107</v>
      </c>
      <c r="C76" s="430" t="str">
        <f>B20</f>
        <v xml:space="preserve"> Isoniazid</v>
      </c>
      <c r="D76" s="430"/>
      <c r="E76" s="340" t="s">
        <v>108</v>
      </c>
      <c r="F76" s="340"/>
      <c r="G76" s="341">
        <f>H72</f>
        <v>1.0068629400784428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53" t="str">
        <f>B26</f>
        <v>Isoniazid</v>
      </c>
      <c r="C79" s="453"/>
    </row>
    <row r="80" spans="1:8" ht="26.25" customHeight="1" x14ac:dyDescent="0.4">
      <c r="A80" s="244" t="s">
        <v>48</v>
      </c>
      <c r="B80" s="453" t="str">
        <f>B27</f>
        <v>18-2</v>
      </c>
      <c r="C80" s="453"/>
    </row>
    <row r="81" spans="1:12" ht="27" customHeight="1" x14ac:dyDescent="0.4">
      <c r="A81" s="244" t="s">
        <v>6</v>
      </c>
      <c r="B81" s="343">
        <f>B28</f>
        <v>98.5</v>
      </c>
    </row>
    <row r="82" spans="1:12" s="3" customFormat="1" ht="27" customHeight="1" x14ac:dyDescent="0.4">
      <c r="A82" s="244" t="s">
        <v>49</v>
      </c>
      <c r="B82" s="246">
        <v>0</v>
      </c>
      <c r="C82" s="432" t="s">
        <v>50</v>
      </c>
      <c r="D82" s="433"/>
      <c r="E82" s="433"/>
      <c r="F82" s="433"/>
      <c r="G82" s="434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98.5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435" t="s">
        <v>111</v>
      </c>
      <c r="D84" s="436"/>
      <c r="E84" s="436"/>
      <c r="F84" s="436"/>
      <c r="G84" s="436"/>
      <c r="H84" s="437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435" t="s">
        <v>112</v>
      </c>
      <c r="D85" s="436"/>
      <c r="E85" s="436"/>
      <c r="F85" s="436"/>
      <c r="G85" s="436"/>
      <c r="H85" s="43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50</v>
      </c>
      <c r="D89" s="344" t="s">
        <v>59</v>
      </c>
      <c r="E89" s="345"/>
      <c r="F89" s="438" t="s">
        <v>60</v>
      </c>
      <c r="G89" s="439"/>
    </row>
    <row r="90" spans="1:12" ht="27" customHeight="1" x14ac:dyDescent="0.4">
      <c r="A90" s="259" t="s">
        <v>61</v>
      </c>
      <c r="B90" s="260">
        <v>5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25</v>
      </c>
      <c r="C91" s="348">
        <v>1</v>
      </c>
      <c r="D91" s="267">
        <v>19164680</v>
      </c>
      <c r="E91" s="268">
        <f>IF(ISBLANK(D91),"-",$D$101/$D$98*D91)</f>
        <v>22868509.542526715</v>
      </c>
      <c r="F91" s="267">
        <v>26871515</v>
      </c>
      <c r="G91" s="269">
        <f>IF(ISBLANK(F91),"-",$D$101/$F$98*F91)</f>
        <v>23328823.232704699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19143744</v>
      </c>
      <c r="E92" s="273">
        <f>IF(ISBLANK(D92),"-",$D$101/$D$98*D92)</f>
        <v>22843527.381813239</v>
      </c>
      <c r="F92" s="272">
        <v>26906784</v>
      </c>
      <c r="G92" s="274">
        <f>IF(ISBLANK(F92),"-",$D$101/$F$98*F92)</f>
        <v>23359442.431755971</v>
      </c>
      <c r="I92" s="440">
        <f>ABS((F96/D96*D95)-F95)/D95</f>
        <v>3.1549705464021686E-2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19143225</v>
      </c>
      <c r="E93" s="273">
        <f>IF(ISBLANK(D93),"-",$D$101/$D$98*D93)</f>
        <v>22842908.078153979</v>
      </c>
      <c r="F93" s="272">
        <v>26999914</v>
      </c>
      <c r="G93" s="274">
        <f>IF(ISBLANK(F93),"-",$D$101/$F$98*F93)</f>
        <v>23440294.341581743</v>
      </c>
      <c r="I93" s="440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19150549.666666668</v>
      </c>
      <c r="E95" s="283">
        <f>AVERAGE(E91:E94)</f>
        <v>22851648.334164646</v>
      </c>
      <c r="F95" s="353">
        <f>AVERAGE(F91:F94)</f>
        <v>26926071</v>
      </c>
      <c r="G95" s="354">
        <f>AVERAGE(G91:G94)</f>
        <v>23376186.668680806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14.18</v>
      </c>
      <c r="E96" s="275"/>
      <c r="F96" s="287">
        <v>19.489999999999998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14.18</v>
      </c>
      <c r="E97" s="290"/>
      <c r="F97" s="289">
        <f>F96*$B$87</f>
        <v>19.489999999999998</v>
      </c>
    </row>
    <row r="98" spans="1:10" ht="19.5" customHeight="1" x14ac:dyDescent="0.3">
      <c r="A98" s="259" t="s">
        <v>76</v>
      </c>
      <c r="B98" s="359">
        <f>(B97/B96)*(B95/B94)*(B93/B92)*(B91/B90)*B89</f>
        <v>250</v>
      </c>
      <c r="C98" s="357" t="s">
        <v>115</v>
      </c>
      <c r="D98" s="360">
        <f>D97*$B$83/100</f>
        <v>13.9673</v>
      </c>
      <c r="E98" s="293"/>
      <c r="F98" s="292">
        <f>F97*$B$83/100</f>
        <v>19.197649999999999</v>
      </c>
    </row>
    <row r="99" spans="1:10" ht="19.5" customHeight="1" x14ac:dyDescent="0.3">
      <c r="A99" s="426" t="s">
        <v>78</v>
      </c>
      <c r="B99" s="441"/>
      <c r="C99" s="357" t="s">
        <v>116</v>
      </c>
      <c r="D99" s="361">
        <f>D98/$B$98</f>
        <v>5.5869200000000001E-2</v>
      </c>
      <c r="E99" s="293"/>
      <c r="F99" s="296">
        <f>F98/$B$98</f>
        <v>7.6790600000000001E-2</v>
      </c>
      <c r="G99" s="362"/>
      <c r="H99" s="285"/>
    </row>
    <row r="100" spans="1:10" ht="19.5" customHeight="1" x14ac:dyDescent="0.3">
      <c r="A100" s="428"/>
      <c r="B100" s="442"/>
      <c r="C100" s="357" t="s">
        <v>80</v>
      </c>
      <c r="D100" s="363">
        <f>$B$56/$B$116</f>
        <v>6.6666666666666666E-2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16.666666666666668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16.666666666666668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23113917.501422722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1.2535669974859318E-2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21990818</v>
      </c>
      <c r="E108" s="410">
        <f t="shared" ref="E108:E113" si="1">IF(ISBLANK(D108),"-",D108/$D$103*$D$100*$B$116)</f>
        <v>57.084614925997911</v>
      </c>
      <c r="F108" s="380">
        <f t="shared" ref="F108:F113" si="2">IF(ISBLANK(D108), "-", E108/$B$56)</f>
        <v>0.95141024876663183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19984590</v>
      </c>
      <c r="E109" s="411">
        <f t="shared" si="1"/>
        <v>51.876770777874142</v>
      </c>
      <c r="F109" s="381">
        <f t="shared" si="2"/>
        <v>0.86461284629790236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21996424</v>
      </c>
      <c r="E110" s="411">
        <f t="shared" si="1"/>
        <v>57.099167197372054</v>
      </c>
      <c r="F110" s="381">
        <f t="shared" si="2"/>
        <v>0.95165278662286756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19541428</v>
      </c>
      <c r="E111" s="411">
        <f t="shared" si="1"/>
        <v>50.726393737791547</v>
      </c>
      <c r="F111" s="381">
        <f t="shared" si="2"/>
        <v>0.84543989562985911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20009250</v>
      </c>
      <c r="E112" s="411">
        <f t="shared" si="1"/>
        <v>51.940784158553072</v>
      </c>
      <c r="F112" s="381">
        <f t="shared" si="2"/>
        <v>0.86567973597588455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19501185</v>
      </c>
      <c r="E113" s="412">
        <f t="shared" si="1"/>
        <v>50.621929403701429</v>
      </c>
      <c r="F113" s="384">
        <f t="shared" si="2"/>
        <v>0.84369882339502378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53.224943366881689</v>
      </c>
      <c r="F115" s="387">
        <f>AVERAGE(F108:F113)</f>
        <v>0.88708238944802831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5.7229522886642063E-2</v>
      </c>
      <c r="F116" s="389">
        <f>STDEV(F108:F113)/F115</f>
        <v>5.7229522886642049E-2</v>
      </c>
      <c r="I116" s="233"/>
    </row>
    <row r="117" spans="1:10" ht="27" customHeight="1" x14ac:dyDescent="0.4">
      <c r="A117" s="426" t="s">
        <v>78</v>
      </c>
      <c r="B117" s="427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28"/>
      <c r="B118" s="429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430" t="str">
        <f>B20</f>
        <v xml:space="preserve"> Isoniazid</v>
      </c>
      <c r="D120" s="430"/>
      <c r="E120" s="340" t="s">
        <v>124</v>
      </c>
      <c r="F120" s="340"/>
      <c r="G120" s="341">
        <f>F115</f>
        <v>0.88708238944802831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31" t="s">
        <v>26</v>
      </c>
      <c r="C122" s="431"/>
      <c r="E122" s="346" t="s">
        <v>27</v>
      </c>
      <c r="F122" s="395"/>
      <c r="G122" s="431" t="s">
        <v>28</v>
      </c>
      <c r="H122" s="431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Rifampicin</vt:lpstr>
      <vt:lpstr>Uniformity</vt:lpstr>
      <vt:lpstr>Rifampicin</vt:lpstr>
      <vt:lpstr>SST Isoniazid</vt:lpstr>
      <vt:lpstr>Isoniazid</vt:lpstr>
      <vt:lpstr>Isoniazid!Print_Area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2016-06-14T05:47:15Z</cp:lastPrinted>
  <dcterms:created xsi:type="dcterms:W3CDTF">2005-07-05T10:19:27Z</dcterms:created>
  <dcterms:modified xsi:type="dcterms:W3CDTF">2016-06-14T06:06:13Z</dcterms:modified>
</cp:coreProperties>
</file>