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/>
  </bookViews>
  <sheets>
    <sheet name="SST Rifampicin" sheetId="1" r:id="rId1"/>
    <sheet name="Uniformity" sheetId="2" r:id="rId2"/>
    <sheet name="RIFAMPICIN" sheetId="3" r:id="rId3"/>
    <sheet name="SST Isoniazid" sheetId="5" r:id="rId4"/>
    <sheet name="ISONIAZID" sheetId="4" r:id="rId5"/>
  </sheets>
  <definedNames>
    <definedName name="_xlnm.Print_Area" localSheetId="4">ISONIAZID!$A$1:$I$127</definedName>
    <definedName name="_xlnm.Print_Area" localSheetId="2">RIFAMPICIN!$A$1:$I$125</definedName>
    <definedName name="_xlnm.Print_Area" localSheetId="3">'SST Isoniazid'!$A$15:$G$61</definedName>
    <definedName name="_xlnm.Print_Area" localSheetId="0">'SST Rifampicin'!$A$15:$G$62</definedName>
    <definedName name="_xlnm.Print_Area" localSheetId="1">Uniformity!$A$12:$F$54</definedName>
  </definedNames>
  <calcPr calcId="145621"/>
</workbook>
</file>

<file path=xl/calcChain.xml><?xml version="1.0" encoding="utf-8"?>
<calcChain xmlns="http://schemas.openxmlformats.org/spreadsheetml/2006/main">
  <c r="B21" i="5" l="1"/>
  <c r="B21" i="1"/>
  <c r="B53" i="5" l="1"/>
  <c r="E51" i="5"/>
  <c r="D51" i="5"/>
  <c r="C51" i="5"/>
  <c r="B51" i="5"/>
  <c r="B52" i="5" s="1"/>
  <c r="B32" i="5"/>
  <c r="E30" i="5"/>
  <c r="D30" i="5"/>
  <c r="C30" i="5"/>
  <c r="B30" i="5"/>
  <c r="B31" i="5" s="1"/>
  <c r="C120" i="4" l="1"/>
  <c r="B116" i="4"/>
  <c r="D100" i="4" s="1"/>
  <c r="B98" i="4"/>
  <c r="F97" i="4"/>
  <c r="F95" i="4"/>
  <c r="D95" i="4"/>
  <c r="B87" i="4"/>
  <c r="D97" i="4" s="1"/>
  <c r="B83" i="4"/>
  <c r="B81" i="4"/>
  <c r="B80" i="4"/>
  <c r="B79" i="4"/>
  <c r="C76" i="4"/>
  <c r="B68" i="4"/>
  <c r="C56" i="4"/>
  <c r="B55" i="4"/>
  <c r="B45" i="4"/>
  <c r="D48" i="4" s="1"/>
  <c r="F42" i="4"/>
  <c r="D42" i="4"/>
  <c r="B34" i="4"/>
  <c r="B30" i="4"/>
  <c r="C120" i="3"/>
  <c r="B116" i="3"/>
  <c r="D100" i="3" s="1"/>
  <c r="B98" i="3"/>
  <c r="F95" i="3"/>
  <c r="D95" i="3"/>
  <c r="B87" i="3"/>
  <c r="D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F44" i="3" s="1"/>
  <c r="B30" i="3"/>
  <c r="D50" i="2"/>
  <c r="B49" i="2"/>
  <c r="C46" i="2"/>
  <c r="C50" i="2" s="1"/>
  <c r="C45" i="2"/>
  <c r="D42" i="2"/>
  <c r="D41" i="2"/>
  <c r="D38" i="2"/>
  <c r="D37" i="2"/>
  <c r="D35" i="2"/>
  <c r="D34" i="2"/>
  <c r="D33" i="2"/>
  <c r="D31" i="2"/>
  <c r="D30" i="2"/>
  <c r="D29" i="2"/>
  <c r="D27" i="2"/>
  <c r="D26" i="2"/>
  <c r="D2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4" l="1"/>
  <c r="I39" i="4"/>
  <c r="D49" i="4"/>
  <c r="F44" i="4"/>
  <c r="F45" i="4" s="1"/>
  <c r="D44" i="4"/>
  <c r="D45" i="4" s="1"/>
  <c r="F98" i="4"/>
  <c r="F99" i="4" s="1"/>
  <c r="D98" i="4"/>
  <c r="E92" i="4" s="1"/>
  <c r="D101" i="4"/>
  <c r="I92" i="3"/>
  <c r="F97" i="3"/>
  <c r="F98" i="3" s="1"/>
  <c r="F99" i="3" s="1"/>
  <c r="D101" i="3"/>
  <c r="D102" i="3" s="1"/>
  <c r="I39" i="3"/>
  <c r="F45" i="3"/>
  <c r="G38" i="3" s="1"/>
  <c r="D44" i="3"/>
  <c r="D45" i="3" s="1"/>
  <c r="D49" i="3"/>
  <c r="G41" i="3"/>
  <c r="D98" i="3"/>
  <c r="D99" i="3" s="1"/>
  <c r="E93" i="3"/>
  <c r="B69" i="3"/>
  <c r="D39" i="2"/>
  <c r="D43" i="2"/>
  <c r="C49" i="2"/>
  <c r="D24" i="2"/>
  <c r="D28" i="2"/>
  <c r="D32" i="2"/>
  <c r="D36" i="2"/>
  <c r="D40" i="2"/>
  <c r="D49" i="2"/>
  <c r="B57" i="3"/>
  <c r="B57" i="4"/>
  <c r="B69" i="4" s="1"/>
  <c r="E91" i="4"/>
  <c r="G91" i="4" l="1"/>
  <c r="D99" i="4"/>
  <c r="G93" i="4"/>
  <c r="G92" i="4"/>
  <c r="G94" i="4"/>
  <c r="E94" i="4"/>
  <c r="G38" i="4"/>
  <c r="G39" i="4"/>
  <c r="G40" i="4"/>
  <c r="E38" i="4"/>
  <c r="E41" i="4"/>
  <c r="F46" i="4"/>
  <c r="G41" i="4"/>
  <c r="E40" i="4"/>
  <c r="E39" i="4"/>
  <c r="D46" i="4"/>
  <c r="E93" i="4"/>
  <c r="D102" i="4"/>
  <c r="E92" i="3"/>
  <c r="E94" i="3"/>
  <c r="E91" i="3"/>
  <c r="G93" i="3"/>
  <c r="G94" i="3"/>
  <c r="G39" i="3"/>
  <c r="G40" i="3"/>
  <c r="E38" i="3"/>
  <c r="D46" i="3"/>
  <c r="E40" i="3"/>
  <c r="E39" i="3"/>
  <c r="E41" i="3"/>
  <c r="F46" i="3"/>
  <c r="G92" i="3"/>
  <c r="G91" i="3"/>
  <c r="G95" i="4" l="1"/>
  <c r="D105" i="4"/>
  <c r="E95" i="4"/>
  <c r="D103" i="4"/>
  <c r="E108" i="4" s="1"/>
  <c r="G42" i="4"/>
  <c r="E42" i="4"/>
  <c r="D50" i="4"/>
  <c r="G68" i="4" s="1"/>
  <c r="H68" i="4" s="1"/>
  <c r="D52" i="4"/>
  <c r="E95" i="3"/>
  <c r="D103" i="3"/>
  <c r="E108" i="3" s="1"/>
  <c r="D105" i="3"/>
  <c r="G42" i="3"/>
  <c r="D52" i="3"/>
  <c r="E42" i="3"/>
  <c r="D50" i="3"/>
  <c r="G69" i="3" s="1"/>
  <c r="H69" i="3" s="1"/>
  <c r="G95" i="3"/>
  <c r="E113" i="4" l="1"/>
  <c r="F113" i="4" s="1"/>
  <c r="E109" i="4"/>
  <c r="F109" i="4" s="1"/>
  <c r="E110" i="4"/>
  <c r="F110" i="4" s="1"/>
  <c r="E111" i="4"/>
  <c r="F111" i="4" s="1"/>
  <c r="E112" i="4"/>
  <c r="F112" i="4" s="1"/>
  <c r="D104" i="4"/>
  <c r="G65" i="4"/>
  <c r="H65" i="4" s="1"/>
  <c r="D51" i="4"/>
  <c r="G69" i="4"/>
  <c r="H69" i="4" s="1"/>
  <c r="G60" i="4"/>
  <c r="H60" i="4" s="1"/>
  <c r="G63" i="4"/>
  <c r="H63" i="4" s="1"/>
  <c r="G66" i="4"/>
  <c r="H66" i="4" s="1"/>
  <c r="G67" i="4"/>
  <c r="H67" i="4" s="1"/>
  <c r="G62" i="4"/>
  <c r="H62" i="4" s="1"/>
  <c r="G71" i="4"/>
  <c r="H71" i="4" s="1"/>
  <c r="G61" i="4"/>
  <c r="H61" i="4" s="1"/>
  <c r="G70" i="4"/>
  <c r="H70" i="4" s="1"/>
  <c r="G64" i="4"/>
  <c r="H64" i="4" s="1"/>
  <c r="E109" i="3"/>
  <c r="F109" i="3" s="1"/>
  <c r="E110" i="3"/>
  <c r="F110" i="3" s="1"/>
  <c r="E112" i="3"/>
  <c r="F112" i="3" s="1"/>
  <c r="E111" i="3"/>
  <c r="F111" i="3" s="1"/>
  <c r="E113" i="3"/>
  <c r="F113" i="3" s="1"/>
  <c r="D104" i="3"/>
  <c r="G62" i="3"/>
  <c r="H62" i="3" s="1"/>
  <c r="G67" i="3"/>
  <c r="H67" i="3" s="1"/>
  <c r="G63" i="3"/>
  <c r="H63" i="3" s="1"/>
  <c r="G65" i="3"/>
  <c r="H65" i="3" s="1"/>
  <c r="G60" i="3"/>
  <c r="H60" i="3" s="1"/>
  <c r="G68" i="3"/>
  <c r="H68" i="3" s="1"/>
  <c r="G61" i="3"/>
  <c r="H61" i="3" s="1"/>
  <c r="G70" i="3"/>
  <c r="H70" i="3" s="1"/>
  <c r="G64" i="3"/>
  <c r="H64" i="3" s="1"/>
  <c r="D51" i="3"/>
  <c r="G66" i="3"/>
  <c r="H66" i="3" s="1"/>
  <c r="G71" i="3"/>
  <c r="H71" i="3" s="1"/>
  <c r="F108" i="4"/>
  <c r="F108" i="3"/>
  <c r="E115" i="4" l="1"/>
  <c r="E116" i="4" s="1"/>
  <c r="E117" i="4"/>
  <c r="G72" i="4"/>
  <c r="G73" i="4" s="1"/>
  <c r="G74" i="4"/>
  <c r="E117" i="3"/>
  <c r="E115" i="3"/>
  <c r="E116" i="3" s="1"/>
  <c r="G72" i="3"/>
  <c r="G73" i="3" s="1"/>
  <c r="G74" i="3"/>
  <c r="H74" i="3"/>
  <c r="H72" i="3"/>
  <c r="F117" i="4"/>
  <c r="F115" i="4"/>
  <c r="H74" i="4"/>
  <c r="H72" i="4"/>
  <c r="F117" i="3"/>
  <c r="F115" i="3"/>
  <c r="G76" i="3" l="1"/>
  <c r="H73" i="3"/>
  <c r="G120" i="3"/>
  <c r="F116" i="3"/>
  <c r="G120" i="4"/>
  <c r="F116" i="4"/>
  <c r="G76" i="4"/>
  <c r="H73" i="4"/>
</calcChain>
</file>

<file path=xl/sharedStrings.xml><?xml version="1.0" encoding="utf-8"?>
<sst xmlns="http://schemas.openxmlformats.org/spreadsheetml/2006/main" count="440" uniqueCount="131">
  <si>
    <t>HPLC System Suitability Report</t>
  </si>
  <si>
    <t>Analysis Data</t>
  </si>
  <si>
    <t>Assay</t>
  </si>
  <si>
    <t>Sample(s)</t>
  </si>
  <si>
    <t>Reference Substance:</t>
  </si>
  <si>
    <t>RIFAMPICIN 60MG, ISONIAZID 30MG TABLETS</t>
  </si>
  <si>
    <t>% age Purity:</t>
  </si>
  <si>
    <t>NDQD2016061109</t>
  </si>
  <si>
    <t>Weight (mg):</t>
  </si>
  <si>
    <t>Rifampicin, Isoniazid</t>
  </si>
  <si>
    <t>Standard Conc (mg/mL):</t>
  </si>
  <si>
    <t>Each Tablet contains: Rifampicin 60mg, Isoniazid 30mg</t>
  </si>
  <si>
    <t>2016-06-10 07:08:20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</si>
  <si>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</si>
  <si>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</si>
  <si>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</si>
  <si>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</si>
  <si>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</si>
  <si>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</si>
  <si>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</si>
  <si>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</si>
  <si>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</si>
  <si>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</si>
  <si>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</si>
  <si>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</si>
  <si>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</si>
  <si>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</si>
  <si>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</si>
  <si>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</si>
  <si>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</si>
  <si>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</si>
  <si>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</si>
  <si>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</si>
  <si>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</si>
  <si>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</si>
  <si>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</si>
  <si>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</si>
  <si>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</si>
  <si>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</si>
  <si>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</si>
  <si>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</si>
  <si>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</si>
  <si>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</si>
  <si>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</si>
  <si>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</si>
  <si>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</si>
  <si>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</si>
  <si>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</si>
  <si>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</si>
  <si>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</si>
  <si>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</si>
  <si>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</si>
  <si>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</si>
  <si>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</si>
  <si>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</si>
  <si>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</si>
  <si>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</si>
  <si>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</si>
  <si>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</si>
  <si>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</si>
  <si>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</si>
  <si>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</si>
  <si>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</si>
  <si>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</si>
  <si>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</si>
  <si>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</si>
  <si>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</si>
  <si>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</si>
  <si>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</si>
  <si>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</si>
  <si>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</si>
  <si>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</si>
  <si>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</si>
  <si>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</si>
  <si>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</si>
  <si>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</si>
  <si>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</si>
  <si>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</si>
  <si>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</si>
  <si>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</si>
  <si>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</si>
  <si>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</si>
  <si>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</si>
  <si>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</si>
  <si>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</si>
  <si>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</si>
  <si>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</si>
  <si>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</si>
  <si>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</si>
  <si>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</si>
  <si>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</si>
  <si>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</si>
  <si>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</si>
  <si>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</si>
  <si>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</si>
  <si>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</si>
  <si>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</si>
  <si>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</si>
  <si>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</si>
  <si>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</si>
  <si>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</si>
  <si>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</si>
  <si>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</si>
  <si>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</si>
  <si>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</si>
  <si>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</si>
  <si>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</si>
  <si>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</si>
  <si>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</si>
  <si>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</si>
  <si>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</si>
  <si>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</si>
  <si>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</si>
  <si>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</si>
  <si>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</si>
  <si>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</si>
  <si>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</si>
  <si>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</si>
  <si>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</si>
  <si>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</si>
  <si>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</si>
  <si>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</si>
  <si>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</si>
  <si>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</si>
  <si>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</si>
  <si>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Rifampicin</t>
  </si>
  <si>
    <t>RUTTO/JOYFRIDA</t>
  </si>
  <si>
    <t>13/06/2016</t>
  </si>
  <si>
    <t>Isoniazid</t>
  </si>
  <si>
    <t>R5-1</t>
  </si>
  <si>
    <t>I8-2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</si>
</sst>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1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abSelected="1" workbookViewId="0">
      <selection activeCell="A15" sqref="A15:G62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64" t="s">
        <v>0</v>
      </c>
      <c r="B15" s="464"/>
      <c r="C15" s="464"/>
      <c r="D15" s="464"/>
      <c r="E15" s="464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8" t="s">
        <v>125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99.6</v>
      </c>
      <c r="C19" s="10"/>
      <c r="D19" s="10"/>
      <c r="E19" s="10"/>
    </row>
    <row r="20" spans="1:6" ht="16.5" customHeight="1" x14ac:dyDescent="0.3">
      <c r="A20" s="7" t="s">
        <v>8</v>
      </c>
      <c r="B20" s="12">
        <v>14.51</v>
      </c>
      <c r="C20" s="10"/>
      <c r="D20" s="10"/>
      <c r="E20" s="10"/>
    </row>
    <row r="21" spans="1:6" ht="16.5" customHeight="1" x14ac:dyDescent="0.3">
      <c r="A21" s="7" t="s">
        <v>10</v>
      </c>
      <c r="B21" s="13">
        <f>14.51/50*5/25</f>
        <v>5.8040000000000001E-2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18163592</v>
      </c>
      <c r="C24" s="18">
        <v>63960.4</v>
      </c>
      <c r="D24" s="19">
        <v>0.9</v>
      </c>
      <c r="E24" s="20">
        <v>7</v>
      </c>
    </row>
    <row r="25" spans="1:6" ht="16.5" customHeight="1" x14ac:dyDescent="0.3">
      <c r="A25" s="17">
        <v>2</v>
      </c>
      <c r="B25" s="18">
        <v>18233078</v>
      </c>
      <c r="C25" s="18">
        <v>64168</v>
      </c>
      <c r="D25" s="19">
        <v>0.9</v>
      </c>
      <c r="E25" s="19">
        <v>7.7</v>
      </c>
    </row>
    <row r="26" spans="1:6" ht="16.5" customHeight="1" x14ac:dyDescent="0.3">
      <c r="A26" s="17">
        <v>3</v>
      </c>
      <c r="B26" s="18">
        <v>18243294</v>
      </c>
      <c r="C26" s="18">
        <v>63956.7</v>
      </c>
      <c r="D26" s="19">
        <v>0.9</v>
      </c>
      <c r="E26" s="19">
        <v>7.7</v>
      </c>
    </row>
    <row r="27" spans="1:6" ht="16.5" customHeight="1" x14ac:dyDescent="0.3">
      <c r="A27" s="17">
        <v>4</v>
      </c>
      <c r="B27" s="18">
        <v>18248345</v>
      </c>
      <c r="C27" s="18">
        <v>63663.3</v>
      </c>
      <c r="D27" s="19">
        <v>1</v>
      </c>
      <c r="E27" s="19">
        <v>7.7</v>
      </c>
    </row>
    <row r="28" spans="1:6" ht="16.5" customHeight="1" x14ac:dyDescent="0.3">
      <c r="A28" s="17">
        <v>5</v>
      </c>
      <c r="B28" s="18">
        <v>18234425</v>
      </c>
      <c r="C28" s="18">
        <v>63950.400000000001</v>
      </c>
      <c r="D28" s="19">
        <v>1</v>
      </c>
      <c r="E28" s="19">
        <v>7.7</v>
      </c>
    </row>
    <row r="29" spans="1:6" ht="16.5" customHeight="1" x14ac:dyDescent="0.3">
      <c r="A29" s="17">
        <v>6</v>
      </c>
      <c r="B29" s="21">
        <v>18239906</v>
      </c>
      <c r="C29" s="21">
        <v>63667.9</v>
      </c>
      <c r="D29" s="22">
        <v>1</v>
      </c>
      <c r="E29" s="22">
        <v>7.7</v>
      </c>
    </row>
    <row r="30" spans="1:6" ht="16.5" customHeight="1" x14ac:dyDescent="0.3">
      <c r="A30" s="23" t="s">
        <v>18</v>
      </c>
      <c r="B30" s="24">
        <f>AVERAGE(B24:B29)</f>
        <v>18227106.666666668</v>
      </c>
      <c r="C30" s="25">
        <f>AVERAGE(C24:C29)</f>
        <v>63894.450000000004</v>
      </c>
      <c r="D30" s="26">
        <f>AVERAGE(D24:D29)</f>
        <v>0.95000000000000007</v>
      </c>
      <c r="E30" s="26">
        <f>AVERAGE(E24:E29)</f>
        <v>7.583333333333333</v>
      </c>
    </row>
    <row r="31" spans="1:6" ht="16.5" customHeight="1" x14ac:dyDescent="0.3">
      <c r="A31" s="27" t="s">
        <v>19</v>
      </c>
      <c r="B31" s="28">
        <f>(STDEV(B24:B29)/B30)</f>
        <v>1.7349741182692898E-3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65" t="s">
        <v>26</v>
      </c>
      <c r="C59" s="465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 t="s">
        <v>126</v>
      </c>
      <c r="C60" s="48"/>
      <c r="E60" s="48" t="s">
        <v>127</v>
      </c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workbookViewId="0">
      <selection activeCell="A12" sqref="A12:F5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69" t="s">
        <v>31</v>
      </c>
      <c r="B11" s="470"/>
      <c r="C11" s="470"/>
      <c r="D11" s="470"/>
      <c r="E11" s="470"/>
      <c r="F11" s="471"/>
      <c r="G11" s="91"/>
    </row>
    <row r="12" spans="1:7" ht="16.5" customHeight="1" x14ac:dyDescent="0.3">
      <c r="A12" s="468" t="s">
        <v>32</v>
      </c>
      <c r="B12" s="468"/>
      <c r="C12" s="468"/>
      <c r="D12" s="468"/>
      <c r="E12" s="468"/>
      <c r="F12" s="468"/>
      <c r="G12" s="90"/>
    </row>
    <row r="14" spans="1:7" ht="16.5" customHeight="1" x14ac:dyDescent="0.3">
      <c r="A14" s="473" t="s">
        <v>33</v>
      </c>
      <c r="B14" s="473"/>
      <c r="C14" s="60" t="s">
        <v>5</v>
      </c>
    </row>
    <row r="15" spans="1:7" ht="16.5" customHeight="1" x14ac:dyDescent="0.3">
      <c r="A15" s="473" t="s">
        <v>34</v>
      </c>
      <c r="B15" s="473"/>
      <c r="C15" s="60" t="s">
        <v>7</v>
      </c>
    </row>
    <row r="16" spans="1:7" ht="16.5" customHeight="1" x14ac:dyDescent="0.3">
      <c r="A16" s="473" t="s">
        <v>35</v>
      </c>
      <c r="B16" s="473"/>
      <c r="C16" s="60" t="s">
        <v>9</v>
      </c>
    </row>
    <row r="17" spans="1:5" ht="16.5" customHeight="1" x14ac:dyDescent="0.3">
      <c r="A17" s="473" t="s">
        <v>36</v>
      </c>
      <c r="B17" s="473"/>
      <c r="C17" s="60" t="s">
        <v>11</v>
      </c>
    </row>
    <row r="18" spans="1:5" ht="16.5" customHeight="1" x14ac:dyDescent="0.3">
      <c r="A18" s="473" t="s">
        <v>37</v>
      </c>
      <c r="B18" s="473"/>
      <c r="C18" s="97" t="s">
        <v>12</v>
      </c>
    </row>
    <row r="19" spans="1:5" ht="16.5" customHeight="1" x14ac:dyDescent="0.3">
      <c r="A19" s="473" t="s">
        <v>38</v>
      </c>
      <c r="B19" s="473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468" t="s">
        <v>1</v>
      </c>
      <c r="B21" s="468"/>
      <c r="C21" s="59" t="s">
        <v>39</v>
      </c>
      <c r="D21" s="66"/>
    </row>
    <row r="22" spans="1:5" ht="15.75" customHeight="1" x14ac:dyDescent="0.3">
      <c r="A22" s="472"/>
      <c r="B22" s="472"/>
      <c r="C22" s="57"/>
      <c r="D22" s="472"/>
      <c r="E22" s="472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242.46</v>
      </c>
      <c r="D24" s="87">
        <f t="shared" ref="D24:D43" si="0">(C24-$C$46)/$C$46</f>
        <v>1.3243289551215931E-2</v>
      </c>
      <c r="E24" s="53"/>
    </row>
    <row r="25" spans="1:5" ht="15.75" customHeight="1" x14ac:dyDescent="0.3">
      <c r="C25" s="95">
        <v>238.95</v>
      </c>
      <c r="D25" s="88">
        <f t="shared" si="0"/>
        <v>-1.4250431483006389E-3</v>
      </c>
      <c r="E25" s="53"/>
    </row>
    <row r="26" spans="1:5" ht="15.75" customHeight="1" x14ac:dyDescent="0.3">
      <c r="C26" s="95">
        <v>238.43</v>
      </c>
      <c r="D26" s="88">
        <f t="shared" si="0"/>
        <v>-3.5981294741548576E-3</v>
      </c>
      <c r="E26" s="53"/>
    </row>
    <row r="27" spans="1:5" ht="15.75" customHeight="1" x14ac:dyDescent="0.3">
      <c r="C27" s="95">
        <v>237.4</v>
      </c>
      <c r="D27" s="88">
        <f t="shared" si="0"/>
        <v>-7.9025120042124069E-3</v>
      </c>
      <c r="E27" s="53"/>
    </row>
    <row r="28" spans="1:5" ht="15.75" customHeight="1" x14ac:dyDescent="0.3">
      <c r="C28" s="95">
        <v>238.49</v>
      </c>
      <c r="D28" s="88">
        <f t="shared" si="0"/>
        <v>-3.3473887442485831E-3</v>
      </c>
      <c r="E28" s="53"/>
    </row>
    <row r="29" spans="1:5" ht="15.75" customHeight="1" x14ac:dyDescent="0.3">
      <c r="C29" s="95">
        <v>241.42</v>
      </c>
      <c r="D29" s="88">
        <f t="shared" si="0"/>
        <v>8.8971168995072552E-3</v>
      </c>
      <c r="E29" s="53"/>
    </row>
    <row r="30" spans="1:5" ht="15.75" customHeight="1" x14ac:dyDescent="0.3">
      <c r="C30" s="95">
        <v>239.75</v>
      </c>
      <c r="D30" s="88">
        <f t="shared" si="0"/>
        <v>1.9181665837829387E-3</v>
      </c>
      <c r="E30" s="53"/>
    </row>
    <row r="31" spans="1:5" ht="15.75" customHeight="1" x14ac:dyDescent="0.3">
      <c r="C31" s="95">
        <v>239.98</v>
      </c>
      <c r="D31" s="88">
        <f t="shared" si="0"/>
        <v>2.8793393817569107E-3</v>
      </c>
      <c r="E31" s="53"/>
    </row>
    <row r="32" spans="1:5" ht="15.75" customHeight="1" x14ac:dyDescent="0.3">
      <c r="C32" s="95">
        <v>237.87</v>
      </c>
      <c r="D32" s="88">
        <f t="shared" si="0"/>
        <v>-5.9383762866133385E-3</v>
      </c>
      <c r="E32" s="53"/>
    </row>
    <row r="33" spans="1:7" ht="15.75" customHeight="1" x14ac:dyDescent="0.3">
      <c r="C33" s="95">
        <v>238.01</v>
      </c>
      <c r="D33" s="88">
        <f t="shared" si="0"/>
        <v>-5.3533145834987776E-3</v>
      </c>
      <c r="E33" s="53"/>
    </row>
    <row r="34" spans="1:7" ht="15.75" customHeight="1" x14ac:dyDescent="0.3">
      <c r="C34" s="95">
        <v>238.23</v>
      </c>
      <c r="D34" s="88">
        <f t="shared" si="0"/>
        <v>-4.4339319071758114E-3</v>
      </c>
      <c r="E34" s="53"/>
    </row>
    <row r="35" spans="1:7" ht="15.75" customHeight="1" x14ac:dyDescent="0.3">
      <c r="C35" s="95">
        <v>238.44</v>
      </c>
      <c r="D35" s="88">
        <f t="shared" si="0"/>
        <v>-3.5563393525038516E-3</v>
      </c>
      <c r="E35" s="53"/>
    </row>
    <row r="36" spans="1:7" ht="15.75" customHeight="1" x14ac:dyDescent="0.3">
      <c r="C36" s="95">
        <v>238.76</v>
      </c>
      <c r="D36" s="88">
        <f t="shared" si="0"/>
        <v>-2.2190554596704676E-3</v>
      </c>
      <c r="E36" s="53"/>
    </row>
    <row r="37" spans="1:7" ht="15.75" customHeight="1" x14ac:dyDescent="0.3">
      <c r="C37" s="95">
        <v>239.45</v>
      </c>
      <c r="D37" s="88">
        <f t="shared" si="0"/>
        <v>6.6446293425156738E-4</v>
      </c>
      <c r="E37" s="53"/>
    </row>
    <row r="38" spans="1:7" ht="15.75" customHeight="1" x14ac:dyDescent="0.3">
      <c r="C38" s="95">
        <v>239.62</v>
      </c>
      <c r="D38" s="88">
        <f t="shared" si="0"/>
        <v>1.3748950023193842E-3</v>
      </c>
      <c r="E38" s="53"/>
    </row>
    <row r="39" spans="1:7" ht="15.75" customHeight="1" x14ac:dyDescent="0.3">
      <c r="C39" s="95">
        <v>240.56</v>
      </c>
      <c r="D39" s="88">
        <f t="shared" si="0"/>
        <v>5.3031664375175229E-3</v>
      </c>
      <c r="E39" s="53"/>
    </row>
    <row r="40" spans="1:7" ht="15.75" customHeight="1" x14ac:dyDescent="0.3">
      <c r="C40" s="95">
        <v>242.33</v>
      </c>
      <c r="D40" s="88">
        <f t="shared" si="0"/>
        <v>1.2700017969752375E-2</v>
      </c>
      <c r="E40" s="53"/>
    </row>
    <row r="41" spans="1:7" ht="15.75" customHeight="1" x14ac:dyDescent="0.3">
      <c r="C41" s="95">
        <v>238.5</v>
      </c>
      <c r="D41" s="88">
        <f t="shared" si="0"/>
        <v>-3.3055986225975771E-3</v>
      </c>
      <c r="E41" s="53"/>
    </row>
    <row r="42" spans="1:7" ht="15.75" customHeight="1" x14ac:dyDescent="0.3">
      <c r="C42" s="95">
        <v>240.1</v>
      </c>
      <c r="D42" s="88">
        <f t="shared" si="0"/>
        <v>3.3808208415694596E-3</v>
      </c>
      <c r="E42" s="53"/>
    </row>
    <row r="43" spans="1:7" ht="16.5" customHeight="1" x14ac:dyDescent="0.3">
      <c r="C43" s="96">
        <v>237.07</v>
      </c>
      <c r="D43" s="89">
        <f t="shared" si="0"/>
        <v>-9.2815860186969152E-3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4785.82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239.291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466">
        <f>C46</f>
        <v>239.291</v>
      </c>
      <c r="C49" s="93">
        <f>-IF(C46&lt;=80,10%,IF(C46&lt;250,7.5%,5%))</f>
        <v>-7.4999999999999997E-2</v>
      </c>
      <c r="D49" s="81">
        <f>IF(C46&lt;=80,C46*0.9,IF(C46&lt;250,C46*0.925,C46*0.95))</f>
        <v>221.34417500000001</v>
      </c>
    </row>
    <row r="50" spans="1:6" ht="17.25" customHeight="1" x14ac:dyDescent="0.3">
      <c r="B50" s="467"/>
      <c r="C50" s="94">
        <f>IF(C46&lt;=80, 10%, IF(C46&lt;250, 7.5%, 5%))</f>
        <v>7.4999999999999997E-2</v>
      </c>
      <c r="D50" s="81">
        <f>IF(C46&lt;=80, C46*1.1, IF(C46&lt;250, C46*1.075, C46*1.05))</f>
        <v>257.23782499999999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7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sqref="A1:I12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02" t="s">
        <v>45</v>
      </c>
      <c r="B1" s="502"/>
      <c r="C1" s="502"/>
      <c r="D1" s="502"/>
      <c r="E1" s="502"/>
      <c r="F1" s="502"/>
      <c r="G1" s="502"/>
      <c r="H1" s="502"/>
      <c r="I1" s="502"/>
    </row>
    <row r="2" spans="1:9" ht="18.75" customHeight="1" x14ac:dyDescent="0.25">
      <c r="A2" s="502"/>
      <c r="B2" s="502"/>
      <c r="C2" s="502"/>
      <c r="D2" s="502"/>
      <c r="E2" s="502"/>
      <c r="F2" s="502"/>
      <c r="G2" s="502"/>
      <c r="H2" s="502"/>
      <c r="I2" s="502"/>
    </row>
    <row r="3" spans="1:9" ht="18.75" customHeight="1" x14ac:dyDescent="0.25">
      <c r="A3" s="502"/>
      <c r="B3" s="502"/>
      <c r="C3" s="502"/>
      <c r="D3" s="502"/>
      <c r="E3" s="502"/>
      <c r="F3" s="502"/>
      <c r="G3" s="502"/>
      <c r="H3" s="502"/>
      <c r="I3" s="502"/>
    </row>
    <row r="4" spans="1:9" ht="18.75" customHeight="1" x14ac:dyDescent="0.25">
      <c r="A4" s="502"/>
      <c r="B4" s="502"/>
      <c r="C4" s="502"/>
      <c r="D4" s="502"/>
      <c r="E4" s="502"/>
      <c r="F4" s="502"/>
      <c r="G4" s="502"/>
      <c r="H4" s="502"/>
      <c r="I4" s="502"/>
    </row>
    <row r="5" spans="1:9" ht="18.75" customHeight="1" x14ac:dyDescent="0.25">
      <c r="A5" s="502"/>
      <c r="B5" s="502"/>
      <c r="C5" s="502"/>
      <c r="D5" s="502"/>
      <c r="E5" s="502"/>
      <c r="F5" s="502"/>
      <c r="G5" s="502"/>
      <c r="H5" s="502"/>
      <c r="I5" s="502"/>
    </row>
    <row r="6" spans="1:9" ht="18.75" customHeight="1" x14ac:dyDescent="0.25">
      <c r="A6" s="502"/>
      <c r="B6" s="502"/>
      <c r="C6" s="502"/>
      <c r="D6" s="502"/>
      <c r="E6" s="502"/>
      <c r="F6" s="502"/>
      <c r="G6" s="502"/>
      <c r="H6" s="502"/>
      <c r="I6" s="502"/>
    </row>
    <row r="7" spans="1:9" ht="18.75" customHeight="1" x14ac:dyDescent="0.25">
      <c r="A7" s="502"/>
      <c r="B7" s="502"/>
      <c r="C7" s="502"/>
      <c r="D7" s="502"/>
      <c r="E7" s="502"/>
      <c r="F7" s="502"/>
      <c r="G7" s="502"/>
      <c r="H7" s="502"/>
      <c r="I7" s="502"/>
    </row>
    <row r="8" spans="1:9" x14ac:dyDescent="0.25">
      <c r="A8" s="503" t="s">
        <v>46</v>
      </c>
      <c r="B8" s="503"/>
      <c r="C8" s="503"/>
      <c r="D8" s="503"/>
      <c r="E8" s="503"/>
      <c r="F8" s="503"/>
      <c r="G8" s="503"/>
      <c r="H8" s="503"/>
      <c r="I8" s="503"/>
    </row>
    <row r="9" spans="1:9" x14ac:dyDescent="0.25">
      <c r="A9" s="503"/>
      <c r="B9" s="503"/>
      <c r="C9" s="503"/>
      <c r="D9" s="503"/>
      <c r="E9" s="503"/>
      <c r="F9" s="503"/>
      <c r="G9" s="503"/>
      <c r="H9" s="503"/>
      <c r="I9" s="503"/>
    </row>
    <row r="10" spans="1:9" x14ac:dyDescent="0.25">
      <c r="A10" s="503"/>
      <c r="B10" s="503"/>
      <c r="C10" s="503"/>
      <c r="D10" s="503"/>
      <c r="E10" s="503"/>
      <c r="F10" s="503"/>
      <c r="G10" s="503"/>
      <c r="H10" s="503"/>
      <c r="I10" s="503"/>
    </row>
    <row r="11" spans="1:9" x14ac:dyDescent="0.25">
      <c r="A11" s="503"/>
      <c r="B11" s="503"/>
      <c r="C11" s="503"/>
      <c r="D11" s="503"/>
      <c r="E11" s="503"/>
      <c r="F11" s="503"/>
      <c r="G11" s="503"/>
      <c r="H11" s="503"/>
      <c r="I11" s="503"/>
    </row>
    <row r="12" spans="1:9" x14ac:dyDescent="0.25">
      <c r="A12" s="503"/>
      <c r="B12" s="503"/>
      <c r="C12" s="503"/>
      <c r="D12" s="503"/>
      <c r="E12" s="503"/>
      <c r="F12" s="503"/>
      <c r="G12" s="503"/>
      <c r="H12" s="503"/>
      <c r="I12" s="503"/>
    </row>
    <row r="13" spans="1:9" x14ac:dyDescent="0.25">
      <c r="A13" s="503"/>
      <c r="B13" s="503"/>
      <c r="C13" s="503"/>
      <c r="D13" s="503"/>
      <c r="E13" s="503"/>
      <c r="F13" s="503"/>
      <c r="G13" s="503"/>
      <c r="H13" s="503"/>
      <c r="I13" s="503"/>
    </row>
    <row r="14" spans="1:9" x14ac:dyDescent="0.25">
      <c r="A14" s="503"/>
      <c r="B14" s="503"/>
      <c r="C14" s="503"/>
      <c r="D14" s="503"/>
      <c r="E14" s="503"/>
      <c r="F14" s="503"/>
      <c r="G14" s="503"/>
      <c r="H14" s="503"/>
      <c r="I14" s="503"/>
    </row>
    <row r="15" spans="1:9" ht="19.5" customHeight="1" x14ac:dyDescent="0.3">
      <c r="A15" s="98"/>
    </row>
    <row r="16" spans="1:9" ht="19.5" customHeight="1" x14ac:dyDescent="0.3">
      <c r="A16" s="475" t="s">
        <v>31</v>
      </c>
      <c r="B16" s="476"/>
      <c r="C16" s="476"/>
      <c r="D16" s="476"/>
      <c r="E16" s="476"/>
      <c r="F16" s="476"/>
      <c r="G16" s="476"/>
      <c r="H16" s="477"/>
    </row>
    <row r="17" spans="1:14" ht="20.25" customHeight="1" x14ac:dyDescent="0.25">
      <c r="A17" s="478" t="s">
        <v>47</v>
      </c>
      <c r="B17" s="478"/>
      <c r="C17" s="478"/>
      <c r="D17" s="478"/>
      <c r="E17" s="478"/>
      <c r="F17" s="478"/>
      <c r="G17" s="478"/>
      <c r="H17" s="478"/>
    </row>
    <row r="18" spans="1:14" ht="26.25" customHeight="1" x14ac:dyDescent="0.4">
      <c r="A18" s="100" t="s">
        <v>33</v>
      </c>
      <c r="B18" s="474" t="s">
        <v>5</v>
      </c>
      <c r="C18" s="474"/>
      <c r="D18" s="267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80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479" t="s">
        <v>125</v>
      </c>
      <c r="C20" s="479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479" t="s">
        <v>11</v>
      </c>
      <c r="C21" s="479"/>
      <c r="D21" s="479"/>
      <c r="E21" s="479"/>
      <c r="F21" s="479"/>
      <c r="G21" s="479"/>
      <c r="H21" s="479"/>
      <c r="I21" s="104"/>
    </row>
    <row r="22" spans="1:14" ht="26.25" customHeight="1" x14ac:dyDescent="0.4">
      <c r="A22" s="100" t="s">
        <v>37</v>
      </c>
      <c r="B22" s="105">
        <v>42533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>
        <v>42534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474" t="s">
        <v>125</v>
      </c>
      <c r="C26" s="474"/>
    </row>
    <row r="27" spans="1:14" ht="26.25" customHeight="1" x14ac:dyDescent="0.4">
      <c r="A27" s="109" t="s">
        <v>48</v>
      </c>
      <c r="B27" s="480" t="s">
        <v>129</v>
      </c>
      <c r="C27" s="480"/>
    </row>
    <row r="28" spans="1:14" ht="27" customHeight="1" x14ac:dyDescent="0.4">
      <c r="A28" s="109" t="s">
        <v>6</v>
      </c>
      <c r="B28" s="110">
        <v>99.6</v>
      </c>
    </row>
    <row r="29" spans="1:14" s="14" customFormat="1" ht="27" customHeight="1" x14ac:dyDescent="0.4">
      <c r="A29" s="109" t="s">
        <v>49</v>
      </c>
      <c r="B29" s="111">
        <v>0</v>
      </c>
      <c r="C29" s="481" t="s">
        <v>50</v>
      </c>
      <c r="D29" s="482"/>
      <c r="E29" s="482"/>
      <c r="F29" s="482"/>
      <c r="G29" s="483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99.6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484" t="s">
        <v>53</v>
      </c>
      <c r="D31" s="485"/>
      <c r="E31" s="485"/>
      <c r="F31" s="485"/>
      <c r="G31" s="485"/>
      <c r="H31" s="486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484" t="s">
        <v>55</v>
      </c>
      <c r="D32" s="485"/>
      <c r="E32" s="485"/>
      <c r="F32" s="485"/>
      <c r="G32" s="485"/>
      <c r="H32" s="486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50</v>
      </c>
      <c r="C36" s="99"/>
      <c r="D36" s="487" t="s">
        <v>59</v>
      </c>
      <c r="E36" s="488"/>
      <c r="F36" s="487" t="s">
        <v>60</v>
      </c>
      <c r="G36" s="489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5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25</v>
      </c>
      <c r="C38" s="131">
        <v>1</v>
      </c>
      <c r="D38" s="132">
        <v>17622978</v>
      </c>
      <c r="E38" s="133">
        <f>IF(ISBLANK(D38),"-",$D$48/$D$45*D38)</f>
        <v>18291267.758836862</v>
      </c>
      <c r="F38" s="132">
        <v>17875243</v>
      </c>
      <c r="G38" s="134">
        <f>IF(ISBLANK(F38),"-",$D$48/$F$45*F38)</f>
        <v>17792826.627063442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17633869</v>
      </c>
      <c r="E39" s="138">
        <f>IF(ISBLANK(D39),"-",$D$48/$D$45*D39)</f>
        <v>18302571.761892505</v>
      </c>
      <c r="F39" s="137">
        <v>17841555</v>
      </c>
      <c r="G39" s="139">
        <f>IF(ISBLANK(F39),"-",$D$48/$F$45*F39)</f>
        <v>17759293.950421646</v>
      </c>
      <c r="I39" s="491">
        <f>ABS((F43/D43*D42)-F42)/D42</f>
        <v>3.0228679482279405E-2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17616673</v>
      </c>
      <c r="E40" s="138">
        <f>IF(ISBLANK(D40),"-",$D$48/$D$45*D40)</f>
        <v>18284723.663779858</v>
      </c>
      <c r="F40" s="137">
        <v>17817666</v>
      </c>
      <c r="G40" s="139">
        <f>IF(ISBLANK(F40),"-",$D$48/$F$45*F40)</f>
        <v>17735515.094084203</v>
      </c>
      <c r="I40" s="491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17624506.666666668</v>
      </c>
      <c r="E42" s="148">
        <f>AVERAGE(E38:E41)</f>
        <v>18292854.394836407</v>
      </c>
      <c r="F42" s="147">
        <f>AVERAGE(F38:F41)</f>
        <v>17844821.333333332</v>
      </c>
      <c r="G42" s="149">
        <f>AVERAGE(G38:G41)</f>
        <v>17762545.223856431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14.51</v>
      </c>
      <c r="E43" s="140"/>
      <c r="F43" s="152">
        <v>15.13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14.51</v>
      </c>
      <c r="E44" s="155"/>
      <c r="F44" s="154">
        <f>F43*$B$34</f>
        <v>15.13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250</v>
      </c>
      <c r="C45" s="153" t="s">
        <v>77</v>
      </c>
      <c r="D45" s="157">
        <f>D44*$B$30/100</f>
        <v>14.45196</v>
      </c>
      <c r="E45" s="158"/>
      <c r="F45" s="157">
        <f>F44*$B$30/100</f>
        <v>15.06948</v>
      </c>
      <c r="H45" s="150"/>
    </row>
    <row r="46" spans="1:14" ht="19.5" customHeight="1" x14ac:dyDescent="0.3">
      <c r="A46" s="492" t="s">
        <v>78</v>
      </c>
      <c r="B46" s="493"/>
      <c r="C46" s="153" t="s">
        <v>79</v>
      </c>
      <c r="D46" s="159">
        <f>D45/$B$45</f>
        <v>5.7807839999999999E-2</v>
      </c>
      <c r="E46" s="160"/>
      <c r="F46" s="161">
        <f>F45/$B$45</f>
        <v>6.0277919999999999E-2</v>
      </c>
      <c r="H46" s="150"/>
    </row>
    <row r="47" spans="1:14" ht="27" customHeight="1" x14ac:dyDescent="0.4">
      <c r="A47" s="494"/>
      <c r="B47" s="495"/>
      <c r="C47" s="162" t="s">
        <v>80</v>
      </c>
      <c r="D47" s="163">
        <v>0.06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15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15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18027699.809346419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1.6146742458052761E-2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Tablet contains: Rifampicin 60mg, Isoniazid 30mg</v>
      </c>
    </row>
    <row r="56" spans="1:12" ht="26.25" customHeight="1" x14ac:dyDescent="0.4">
      <c r="A56" s="177" t="s">
        <v>87</v>
      </c>
      <c r="B56" s="178">
        <v>60</v>
      </c>
      <c r="C56" s="99" t="str">
        <f>B20</f>
        <v>Rifampicin</v>
      </c>
      <c r="H56" s="179"/>
    </row>
    <row r="57" spans="1:12" ht="18.75" x14ac:dyDescent="0.3">
      <c r="A57" s="176" t="s">
        <v>88</v>
      </c>
      <c r="B57" s="268">
        <f>Uniformity!C46</f>
        <v>239.291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1</v>
      </c>
      <c r="C60" s="496" t="s">
        <v>94</v>
      </c>
      <c r="D60" s="499">
        <v>22.35</v>
      </c>
      <c r="E60" s="182">
        <v>1</v>
      </c>
      <c r="F60" s="183">
        <v>16356852</v>
      </c>
      <c r="G60" s="269">
        <f>IF(ISBLANK(F60),"-",(F60/$D$50*$D$47*$B$68)*($B$57/$D$60))</f>
        <v>58.285361432056703</v>
      </c>
      <c r="H60" s="184">
        <f t="shared" ref="H60:H71" si="0">IF(ISBLANK(F60),"-",G60/$B$56)</f>
        <v>0.97142269053427843</v>
      </c>
      <c r="L60" s="112"/>
    </row>
    <row r="61" spans="1:12" s="14" customFormat="1" ht="26.25" customHeight="1" x14ac:dyDescent="0.4">
      <c r="A61" s="124" t="s">
        <v>95</v>
      </c>
      <c r="B61" s="125">
        <v>1</v>
      </c>
      <c r="C61" s="497"/>
      <c r="D61" s="500"/>
      <c r="E61" s="185">
        <v>2</v>
      </c>
      <c r="F61" s="137">
        <v>16301675</v>
      </c>
      <c r="G61" s="270">
        <f>IF(ISBLANK(F61),"-",(F61/$D$50*$D$47*$B$68)*($B$57/$D$60))</f>
        <v>58.088745886000737</v>
      </c>
      <c r="H61" s="186">
        <f t="shared" si="0"/>
        <v>0.96814576476667891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497"/>
      <c r="D62" s="500"/>
      <c r="E62" s="185">
        <v>3</v>
      </c>
      <c r="F62" s="187">
        <v>16326729</v>
      </c>
      <c r="G62" s="270">
        <f>IF(ISBLANK(F62),"-",(F62/$D$50*$D$47*$B$68)*($B$57/$D$60))</f>
        <v>58.178022321669332</v>
      </c>
      <c r="H62" s="186">
        <f t="shared" si="0"/>
        <v>0.96963370536115556</v>
      </c>
      <c r="L62" s="112"/>
    </row>
    <row r="63" spans="1:12" ht="27" customHeight="1" x14ac:dyDescent="0.4">
      <c r="A63" s="124" t="s">
        <v>97</v>
      </c>
      <c r="B63" s="125">
        <v>1</v>
      </c>
      <c r="C63" s="498"/>
      <c r="D63" s="501"/>
      <c r="E63" s="188">
        <v>4</v>
      </c>
      <c r="F63" s="189"/>
      <c r="G63" s="270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496" t="s">
        <v>99</v>
      </c>
      <c r="D64" s="499">
        <v>24.42</v>
      </c>
      <c r="E64" s="182">
        <v>1</v>
      </c>
      <c r="F64" s="183">
        <v>18044026</v>
      </c>
      <c r="G64" s="271">
        <f>IF(ISBLANK(F64),"-",(F64/$D$50*$D$47*$B$68)*($B$57/$D$64))</f>
        <v>58.847102208205719</v>
      </c>
      <c r="H64" s="190">
        <f t="shared" si="0"/>
        <v>0.98078503680342866</v>
      </c>
    </row>
    <row r="65" spans="1:8" ht="26.25" customHeight="1" x14ac:dyDescent="0.4">
      <c r="A65" s="124" t="s">
        <v>100</v>
      </c>
      <c r="B65" s="125">
        <v>1</v>
      </c>
      <c r="C65" s="497"/>
      <c r="D65" s="500"/>
      <c r="E65" s="185">
        <v>2</v>
      </c>
      <c r="F65" s="137">
        <v>18074864</v>
      </c>
      <c r="G65" s="272">
        <f>IF(ISBLANK(F65),"-",(F65/$D$50*$D$47*$B$68)*($B$57/$D$64))</f>
        <v>58.947674383057183</v>
      </c>
      <c r="H65" s="191">
        <f t="shared" si="0"/>
        <v>0.98246123971761967</v>
      </c>
    </row>
    <row r="66" spans="1:8" ht="26.25" customHeight="1" x14ac:dyDescent="0.4">
      <c r="A66" s="124" t="s">
        <v>101</v>
      </c>
      <c r="B66" s="125">
        <v>1</v>
      </c>
      <c r="C66" s="497"/>
      <c r="D66" s="500"/>
      <c r="E66" s="185">
        <v>3</v>
      </c>
      <c r="F66" s="137">
        <v>18064761</v>
      </c>
      <c r="G66" s="272">
        <f>IF(ISBLANK(F66),"-",(F66/$D$50*$D$47*$B$68)*($B$57/$D$64))</f>
        <v>58.914725401848152</v>
      </c>
      <c r="H66" s="191">
        <f t="shared" si="0"/>
        <v>0.98191209003080249</v>
      </c>
    </row>
    <row r="67" spans="1:8" ht="27" customHeight="1" x14ac:dyDescent="0.4">
      <c r="A67" s="124" t="s">
        <v>102</v>
      </c>
      <c r="B67" s="125">
        <v>1</v>
      </c>
      <c r="C67" s="498"/>
      <c r="D67" s="501"/>
      <c r="E67" s="188">
        <v>4</v>
      </c>
      <c r="F67" s="189"/>
      <c r="G67" s="273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103</v>
      </c>
      <c r="B68" s="193">
        <f>(B67/B66)*(B65/B64)*(B63/B62)*(B61/B60)*B59</f>
        <v>100</v>
      </c>
      <c r="C68" s="496" t="s">
        <v>104</v>
      </c>
      <c r="D68" s="499">
        <v>26.22</v>
      </c>
      <c r="E68" s="182">
        <v>1</v>
      </c>
      <c r="F68" s="183">
        <v>19511649</v>
      </c>
      <c r="G68" s="271">
        <f>IF(ISBLANK(F68),"-",(F68/$D$50*$D$47*$B$68)*($B$57/$D$68))</f>
        <v>59.265040380917412</v>
      </c>
      <c r="H68" s="186">
        <f t="shared" si="0"/>
        <v>0.98775067301529018</v>
      </c>
    </row>
    <row r="69" spans="1:8" ht="27" customHeight="1" x14ac:dyDescent="0.4">
      <c r="A69" s="172" t="s">
        <v>105</v>
      </c>
      <c r="B69" s="194">
        <f>(D47*B68)/B56*B57</f>
        <v>23.929100000000002</v>
      </c>
      <c r="C69" s="497"/>
      <c r="D69" s="500"/>
      <c r="E69" s="185">
        <v>2</v>
      </c>
      <c r="F69" s="137">
        <v>19498878</v>
      </c>
      <c r="G69" s="272">
        <f>IF(ISBLANK(F69),"-",(F69/$D$50*$D$47*$B$68)*($B$57/$D$68))</f>
        <v>59.226249511385831</v>
      </c>
      <c r="H69" s="186">
        <f t="shared" si="0"/>
        <v>0.98710415852309719</v>
      </c>
    </row>
    <row r="70" spans="1:8" ht="26.25" customHeight="1" x14ac:dyDescent="0.4">
      <c r="A70" s="509" t="s">
        <v>78</v>
      </c>
      <c r="B70" s="510"/>
      <c r="C70" s="497"/>
      <c r="D70" s="500"/>
      <c r="E70" s="185">
        <v>3</v>
      </c>
      <c r="F70" s="137">
        <v>19467934</v>
      </c>
      <c r="G70" s="272">
        <f>IF(ISBLANK(F70),"-",(F70/$D$50*$D$47*$B$68)*($B$57/$D$68))</f>
        <v>59.132259638487497</v>
      </c>
      <c r="H70" s="186">
        <f t="shared" si="0"/>
        <v>0.98553766064145831</v>
      </c>
    </row>
    <row r="71" spans="1:8" ht="27" customHeight="1" x14ac:dyDescent="0.4">
      <c r="A71" s="511"/>
      <c r="B71" s="512"/>
      <c r="C71" s="508"/>
      <c r="D71" s="501"/>
      <c r="E71" s="188">
        <v>4</v>
      </c>
      <c r="F71" s="189"/>
      <c r="G71" s="273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8" t="s">
        <v>71</v>
      </c>
      <c r="G72" s="278">
        <f>AVERAGE(G60:G71)</f>
        <v>58.765020129292076</v>
      </c>
      <c r="H72" s="199">
        <f>AVERAGE(H60:H71)</f>
        <v>0.9794170021548676</v>
      </c>
    </row>
    <row r="73" spans="1:8" ht="26.25" customHeight="1" x14ac:dyDescent="0.4">
      <c r="C73" s="196"/>
      <c r="D73" s="196"/>
      <c r="E73" s="196"/>
      <c r="F73" s="200" t="s">
        <v>84</v>
      </c>
      <c r="G73" s="274">
        <f>STDEV(G60:G71)/G72</f>
        <v>7.8262022835930908E-3</v>
      </c>
      <c r="H73" s="274">
        <f>STDEV(H60:H71)/H72</f>
        <v>7.8262022835930856E-3</v>
      </c>
    </row>
    <row r="74" spans="1:8" ht="27" customHeight="1" x14ac:dyDescent="0.4">
      <c r="A74" s="196"/>
      <c r="B74" s="196"/>
      <c r="C74" s="197"/>
      <c r="D74" s="197"/>
      <c r="E74" s="201"/>
      <c r="F74" s="202" t="s">
        <v>20</v>
      </c>
      <c r="G74" s="203">
        <f>COUNT(G60:G71)</f>
        <v>9</v>
      </c>
      <c r="H74" s="203">
        <f>COUNT(H60:H71)</f>
        <v>9</v>
      </c>
    </row>
    <row r="76" spans="1:8" ht="26.25" customHeight="1" x14ac:dyDescent="0.4">
      <c r="A76" s="108" t="s">
        <v>106</v>
      </c>
      <c r="B76" s="204" t="s">
        <v>107</v>
      </c>
      <c r="C76" s="504" t="str">
        <f>B20</f>
        <v>Rifampicin</v>
      </c>
      <c r="D76" s="504"/>
      <c r="E76" s="205" t="s">
        <v>108</v>
      </c>
      <c r="F76" s="205"/>
      <c r="G76" s="206">
        <f>H72</f>
        <v>0.9794170021548676</v>
      </c>
      <c r="H76" s="207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490" t="str">
        <f>B26</f>
        <v>Rifampicin</v>
      </c>
      <c r="C79" s="490"/>
    </row>
    <row r="80" spans="1:8" ht="26.25" customHeight="1" x14ac:dyDescent="0.4">
      <c r="A80" s="109" t="s">
        <v>48</v>
      </c>
      <c r="B80" s="490" t="str">
        <f>B27</f>
        <v>R5-1</v>
      </c>
      <c r="C80" s="490"/>
    </row>
    <row r="81" spans="1:12" ht="27" customHeight="1" x14ac:dyDescent="0.4">
      <c r="A81" s="109" t="s">
        <v>6</v>
      </c>
      <c r="B81" s="208">
        <f>B28</f>
        <v>99.6</v>
      </c>
    </row>
    <row r="82" spans="1:12" s="14" customFormat="1" ht="27" customHeight="1" x14ac:dyDescent="0.4">
      <c r="A82" s="109" t="s">
        <v>49</v>
      </c>
      <c r="B82" s="111">
        <v>0</v>
      </c>
      <c r="C82" s="481" t="s">
        <v>50</v>
      </c>
      <c r="D82" s="482"/>
      <c r="E82" s="482"/>
      <c r="F82" s="482"/>
      <c r="G82" s="483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99.6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484" t="s">
        <v>111</v>
      </c>
      <c r="D84" s="485"/>
      <c r="E84" s="485"/>
      <c r="F84" s="485"/>
      <c r="G84" s="485"/>
      <c r="H84" s="486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484" t="s">
        <v>112</v>
      </c>
      <c r="D85" s="485"/>
      <c r="E85" s="485"/>
      <c r="F85" s="485"/>
      <c r="G85" s="485"/>
      <c r="H85" s="486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50</v>
      </c>
      <c r="D89" s="209" t="s">
        <v>59</v>
      </c>
      <c r="E89" s="210"/>
      <c r="F89" s="487" t="s">
        <v>60</v>
      </c>
      <c r="G89" s="489"/>
    </row>
    <row r="90" spans="1:12" ht="27" customHeight="1" x14ac:dyDescent="0.4">
      <c r="A90" s="124" t="s">
        <v>61</v>
      </c>
      <c r="B90" s="125">
        <v>5</v>
      </c>
      <c r="C90" s="211" t="s">
        <v>62</v>
      </c>
      <c r="D90" s="127" t="s">
        <v>63</v>
      </c>
      <c r="E90" s="128" t="s">
        <v>64</v>
      </c>
      <c r="F90" s="127" t="s">
        <v>63</v>
      </c>
      <c r="G90" s="212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25</v>
      </c>
      <c r="C91" s="213">
        <v>1</v>
      </c>
      <c r="D91" s="132">
        <v>17622978</v>
      </c>
      <c r="E91" s="133">
        <f>IF(ISBLANK(D91),"-",$D$101/$D$98*D91)</f>
        <v>20323630.843152072</v>
      </c>
      <c r="F91" s="132">
        <v>17875243</v>
      </c>
      <c r="G91" s="134">
        <f>IF(ISBLANK(F91),"-",$D$101/$F$98*F91)</f>
        <v>19769807.363403823</v>
      </c>
      <c r="I91" s="135"/>
    </row>
    <row r="92" spans="1:12" ht="26.25" customHeight="1" x14ac:dyDescent="0.4">
      <c r="A92" s="124" t="s">
        <v>67</v>
      </c>
      <c r="B92" s="125">
        <v>1</v>
      </c>
      <c r="C92" s="197">
        <v>2</v>
      </c>
      <c r="D92" s="137">
        <v>17633869</v>
      </c>
      <c r="E92" s="138">
        <f>IF(ISBLANK(D92),"-",$D$101/$D$98*D92)</f>
        <v>20336190.846547227</v>
      </c>
      <c r="F92" s="137">
        <v>17841555</v>
      </c>
      <c r="G92" s="139">
        <f>IF(ISBLANK(F92),"-",$D$101/$F$98*F92)</f>
        <v>19732548.833801828</v>
      </c>
      <c r="I92" s="491">
        <f>ABS((F96/D96*D95)-F95)/D95</f>
        <v>3.0228679482279405E-2</v>
      </c>
    </row>
    <row r="93" spans="1:12" ht="26.25" customHeight="1" x14ac:dyDescent="0.4">
      <c r="A93" s="124" t="s">
        <v>68</v>
      </c>
      <c r="B93" s="125">
        <v>1</v>
      </c>
      <c r="C93" s="197">
        <v>3</v>
      </c>
      <c r="D93" s="137">
        <v>17616673</v>
      </c>
      <c r="E93" s="138">
        <f>IF(ISBLANK(D93),"-",$D$101/$D$98*D93)</f>
        <v>20316359.626422066</v>
      </c>
      <c r="F93" s="137">
        <v>17817666</v>
      </c>
      <c r="G93" s="139">
        <f>IF(ISBLANK(F93),"-",$D$101/$F$98*F93)</f>
        <v>19706127.882315781</v>
      </c>
      <c r="I93" s="491"/>
    </row>
    <row r="94" spans="1:12" ht="27" customHeight="1" x14ac:dyDescent="0.4">
      <c r="A94" s="124" t="s">
        <v>69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16" t="s">
        <v>71</v>
      </c>
      <c r="D95" s="217">
        <f>AVERAGE(D91:D94)</f>
        <v>17624506.666666668</v>
      </c>
      <c r="E95" s="148">
        <f>AVERAGE(E91:E94)</f>
        <v>20325393.772040457</v>
      </c>
      <c r="F95" s="218">
        <f>AVERAGE(F91:F94)</f>
        <v>17844821.333333332</v>
      </c>
      <c r="G95" s="219">
        <f>AVERAGE(G91:G94)</f>
        <v>19736161.359840479</v>
      </c>
    </row>
    <row r="96" spans="1:12" ht="26.25" customHeight="1" x14ac:dyDescent="0.4">
      <c r="A96" s="124" t="s">
        <v>72</v>
      </c>
      <c r="B96" s="110">
        <v>1</v>
      </c>
      <c r="C96" s="220" t="s">
        <v>113</v>
      </c>
      <c r="D96" s="221">
        <v>14.51</v>
      </c>
      <c r="E96" s="140"/>
      <c r="F96" s="152">
        <v>15.13</v>
      </c>
    </row>
    <row r="97" spans="1:10" ht="26.25" customHeight="1" x14ac:dyDescent="0.4">
      <c r="A97" s="124" t="s">
        <v>74</v>
      </c>
      <c r="B97" s="110">
        <v>1</v>
      </c>
      <c r="C97" s="222" t="s">
        <v>114</v>
      </c>
      <c r="D97" s="223">
        <f>D96*$B$87</f>
        <v>14.51</v>
      </c>
      <c r="E97" s="155"/>
      <c r="F97" s="154">
        <f>F96*$B$87</f>
        <v>15.13</v>
      </c>
    </row>
    <row r="98" spans="1:10" ht="19.5" customHeight="1" x14ac:dyDescent="0.3">
      <c r="A98" s="124" t="s">
        <v>76</v>
      </c>
      <c r="B98" s="224">
        <f>(B97/B96)*(B95/B94)*(B93/B92)*(B91/B90)*B89</f>
        <v>250</v>
      </c>
      <c r="C98" s="222" t="s">
        <v>115</v>
      </c>
      <c r="D98" s="225">
        <f>D97*$B$83/100</f>
        <v>14.45196</v>
      </c>
      <c r="E98" s="158"/>
      <c r="F98" s="157">
        <f>F97*$B$83/100</f>
        <v>15.06948</v>
      </c>
    </row>
    <row r="99" spans="1:10" ht="19.5" customHeight="1" x14ac:dyDescent="0.3">
      <c r="A99" s="492" t="s">
        <v>78</v>
      </c>
      <c r="B99" s="506"/>
      <c r="C99" s="222" t="s">
        <v>116</v>
      </c>
      <c r="D99" s="226">
        <f>D98/$B$98</f>
        <v>5.7807839999999999E-2</v>
      </c>
      <c r="E99" s="158"/>
      <c r="F99" s="161">
        <f>F98/$B$98</f>
        <v>6.0277919999999999E-2</v>
      </c>
      <c r="G99" s="227"/>
      <c r="H99" s="150"/>
    </row>
    <row r="100" spans="1:10" ht="19.5" customHeight="1" x14ac:dyDescent="0.3">
      <c r="A100" s="494"/>
      <c r="B100" s="507"/>
      <c r="C100" s="222" t="s">
        <v>80</v>
      </c>
      <c r="D100" s="228">
        <f>$B$56/$B$116</f>
        <v>6.6666666666666666E-2</v>
      </c>
      <c r="F100" s="166"/>
      <c r="G100" s="229"/>
      <c r="H100" s="150"/>
    </row>
    <row r="101" spans="1:10" ht="18.75" x14ac:dyDescent="0.3">
      <c r="C101" s="222" t="s">
        <v>81</v>
      </c>
      <c r="D101" s="223">
        <f>D100*$B$98</f>
        <v>16.666666666666668</v>
      </c>
      <c r="F101" s="166"/>
      <c r="G101" s="227"/>
      <c r="H101" s="150"/>
    </row>
    <row r="102" spans="1:10" ht="19.5" customHeight="1" x14ac:dyDescent="0.3">
      <c r="C102" s="230" t="s">
        <v>82</v>
      </c>
      <c r="D102" s="231">
        <f>D101/B34</f>
        <v>16.666666666666668</v>
      </c>
      <c r="F102" s="170"/>
      <c r="G102" s="227"/>
      <c r="H102" s="150"/>
      <c r="J102" s="232"/>
    </row>
    <row r="103" spans="1:10" ht="18.75" x14ac:dyDescent="0.3">
      <c r="C103" s="233" t="s">
        <v>117</v>
      </c>
      <c r="D103" s="234">
        <f>AVERAGE(E91:E94,G91:G94)</f>
        <v>20030777.56594047</v>
      </c>
      <c r="F103" s="170"/>
      <c r="G103" s="235"/>
      <c r="H103" s="150"/>
      <c r="J103" s="236"/>
    </row>
    <row r="104" spans="1:10" ht="18.75" x14ac:dyDescent="0.3">
      <c r="C104" s="200" t="s">
        <v>84</v>
      </c>
      <c r="D104" s="237">
        <f>STDEV(E91:E94,G91:G94)/D103</f>
        <v>1.6146742458052823E-2</v>
      </c>
      <c r="F104" s="170"/>
      <c r="G104" s="227"/>
      <c r="H104" s="150"/>
      <c r="J104" s="236"/>
    </row>
    <row r="105" spans="1:10" ht="19.5" customHeight="1" x14ac:dyDescent="0.3">
      <c r="C105" s="202" t="s">
        <v>20</v>
      </c>
      <c r="D105" s="238">
        <f>COUNT(E91:E94,G91:G94)</f>
        <v>6</v>
      </c>
      <c r="F105" s="170"/>
      <c r="G105" s="227"/>
      <c r="H105" s="150"/>
      <c r="J105" s="236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118</v>
      </c>
      <c r="B107" s="123">
        <v>900</v>
      </c>
      <c r="C107" s="239" t="s">
        <v>119</v>
      </c>
      <c r="D107" s="240" t="s">
        <v>63</v>
      </c>
      <c r="E107" s="241" t="s">
        <v>120</v>
      </c>
      <c r="F107" s="242" t="s">
        <v>121</v>
      </c>
    </row>
    <row r="108" spans="1:10" ht="26.25" customHeight="1" x14ac:dyDescent="0.4">
      <c r="A108" s="124" t="s">
        <v>122</v>
      </c>
      <c r="B108" s="125">
        <v>1</v>
      </c>
      <c r="C108" s="243">
        <v>1</v>
      </c>
      <c r="D108" s="244">
        <v>18055259</v>
      </c>
      <c r="E108" s="275">
        <f t="shared" ref="E108:E113" si="1">IF(ISBLANK(D108),"-",D108/$D$103*$D$100*$B$116)</f>
        <v>54.082550536731347</v>
      </c>
      <c r="F108" s="245">
        <f t="shared" ref="F108:F113" si="2">IF(ISBLANK(D108), "-", E108/$B$56)</f>
        <v>0.90137584227885581</v>
      </c>
    </row>
    <row r="109" spans="1:10" ht="26.25" customHeight="1" x14ac:dyDescent="0.4">
      <c r="A109" s="124" t="s">
        <v>95</v>
      </c>
      <c r="B109" s="125">
        <v>1</v>
      </c>
      <c r="C109" s="243">
        <v>2</v>
      </c>
      <c r="D109" s="244">
        <v>16230324</v>
      </c>
      <c r="E109" s="276">
        <f t="shared" si="1"/>
        <v>48.616157650107574</v>
      </c>
      <c r="F109" s="246">
        <f t="shared" si="2"/>
        <v>0.81026929416845961</v>
      </c>
    </row>
    <row r="110" spans="1:10" ht="26.25" customHeight="1" x14ac:dyDescent="0.4">
      <c r="A110" s="124" t="s">
        <v>96</v>
      </c>
      <c r="B110" s="125">
        <v>1</v>
      </c>
      <c r="C110" s="243">
        <v>3</v>
      </c>
      <c r="D110" s="244">
        <v>19482283</v>
      </c>
      <c r="E110" s="276">
        <f t="shared" si="1"/>
        <v>58.357044610570362</v>
      </c>
      <c r="F110" s="246">
        <f t="shared" si="2"/>
        <v>0.97261741017617276</v>
      </c>
    </row>
    <row r="111" spans="1:10" ht="26.25" customHeight="1" x14ac:dyDescent="0.4">
      <c r="A111" s="124" t="s">
        <v>97</v>
      </c>
      <c r="B111" s="125">
        <v>1</v>
      </c>
      <c r="C111" s="243">
        <v>4</v>
      </c>
      <c r="D111" s="244">
        <v>19484433</v>
      </c>
      <c r="E111" s="276">
        <f t="shared" si="1"/>
        <v>58.363484700056418</v>
      </c>
      <c r="F111" s="246">
        <f t="shared" si="2"/>
        <v>0.97272474500094031</v>
      </c>
    </row>
    <row r="112" spans="1:10" ht="26.25" customHeight="1" x14ac:dyDescent="0.4">
      <c r="A112" s="124" t="s">
        <v>98</v>
      </c>
      <c r="B112" s="125">
        <v>1</v>
      </c>
      <c r="C112" s="243">
        <v>5</v>
      </c>
      <c r="D112" s="244">
        <v>17999911</v>
      </c>
      <c r="E112" s="276">
        <f t="shared" si="1"/>
        <v>53.916761665626979</v>
      </c>
      <c r="F112" s="246">
        <f t="shared" si="2"/>
        <v>0.89861269442711633</v>
      </c>
    </row>
    <row r="113" spans="1:10" ht="26.25" customHeight="1" x14ac:dyDescent="0.4">
      <c r="A113" s="124" t="s">
        <v>100</v>
      </c>
      <c r="B113" s="125">
        <v>1</v>
      </c>
      <c r="C113" s="247">
        <v>6</v>
      </c>
      <c r="D113" s="248">
        <v>16229991</v>
      </c>
      <c r="E113" s="277">
        <f t="shared" si="1"/>
        <v>48.615160185084854</v>
      </c>
      <c r="F113" s="249">
        <f t="shared" si="2"/>
        <v>0.81025266975141419</v>
      </c>
    </row>
    <row r="114" spans="1:10" ht="26.25" customHeight="1" x14ac:dyDescent="0.4">
      <c r="A114" s="124" t="s">
        <v>101</v>
      </c>
      <c r="B114" s="125">
        <v>1</v>
      </c>
      <c r="C114" s="243"/>
      <c r="D114" s="197"/>
      <c r="E114" s="98"/>
      <c r="F114" s="250"/>
    </row>
    <row r="115" spans="1:10" ht="26.25" customHeight="1" x14ac:dyDescent="0.4">
      <c r="A115" s="124" t="s">
        <v>102</v>
      </c>
      <c r="B115" s="125">
        <v>1</v>
      </c>
      <c r="C115" s="243"/>
      <c r="D115" s="251" t="s">
        <v>71</v>
      </c>
      <c r="E115" s="279">
        <f>AVERAGE(E108:E113)</f>
        <v>53.658526558029585</v>
      </c>
      <c r="F115" s="252">
        <f>AVERAGE(F108:F113)</f>
        <v>0.89430877596715996</v>
      </c>
    </row>
    <row r="116" spans="1:10" ht="27" customHeight="1" x14ac:dyDescent="0.4">
      <c r="A116" s="124" t="s">
        <v>103</v>
      </c>
      <c r="B116" s="156">
        <f>(B115/B114)*(B113/B112)*(B111/B110)*(B109/B108)*B107</f>
        <v>900</v>
      </c>
      <c r="C116" s="253"/>
      <c r="D116" s="216" t="s">
        <v>84</v>
      </c>
      <c r="E116" s="254">
        <f>STDEV(E108:E113)/E115</f>
        <v>8.137083219202168E-2</v>
      </c>
      <c r="F116" s="254">
        <f>STDEV(F108:F113)/F115</f>
        <v>8.137083219202168E-2</v>
      </c>
      <c r="I116" s="98"/>
    </row>
    <row r="117" spans="1:10" ht="27" customHeight="1" x14ac:dyDescent="0.4">
      <c r="A117" s="492" t="s">
        <v>78</v>
      </c>
      <c r="B117" s="493"/>
      <c r="C117" s="255"/>
      <c r="D117" s="256" t="s">
        <v>20</v>
      </c>
      <c r="E117" s="257">
        <f>COUNT(E108:E113)</f>
        <v>6</v>
      </c>
      <c r="F117" s="257">
        <f>COUNT(F108:F113)</f>
        <v>6</v>
      </c>
      <c r="I117" s="98"/>
      <c r="J117" s="236"/>
    </row>
    <row r="118" spans="1:10" ht="19.5" customHeight="1" x14ac:dyDescent="0.3">
      <c r="A118" s="494"/>
      <c r="B118" s="495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6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106</v>
      </c>
      <c r="B120" s="204" t="s">
        <v>123</v>
      </c>
      <c r="C120" s="504" t="str">
        <f>B20</f>
        <v>Rifampicin</v>
      </c>
      <c r="D120" s="504"/>
      <c r="E120" s="205" t="s">
        <v>124</v>
      </c>
      <c r="F120" s="205"/>
      <c r="G120" s="206">
        <f>F115</f>
        <v>0.89430877596715996</v>
      </c>
      <c r="H120" s="98"/>
      <c r="I120" s="98"/>
    </row>
    <row r="121" spans="1:10" ht="19.5" customHeight="1" x14ac:dyDescent="0.3">
      <c r="A121" s="258"/>
      <c r="B121" s="258"/>
      <c r="C121" s="259"/>
      <c r="D121" s="259"/>
      <c r="E121" s="259"/>
      <c r="F121" s="259"/>
      <c r="G121" s="259"/>
      <c r="H121" s="259"/>
    </row>
    <row r="122" spans="1:10" ht="18.75" x14ac:dyDescent="0.3">
      <c r="B122" s="505" t="s">
        <v>26</v>
      </c>
      <c r="C122" s="505"/>
      <c r="E122" s="211" t="s">
        <v>27</v>
      </c>
      <c r="F122" s="260"/>
      <c r="G122" s="505" t="s">
        <v>28</v>
      </c>
      <c r="H122" s="505"/>
    </row>
    <row r="123" spans="1:10" ht="69.95" customHeight="1" x14ac:dyDescent="0.3">
      <c r="A123" s="261" t="s">
        <v>29</v>
      </c>
      <c r="B123" s="262"/>
      <c r="C123" s="262"/>
      <c r="E123" s="262"/>
      <c r="F123" s="98"/>
      <c r="G123" s="263"/>
      <c r="H123" s="263"/>
    </row>
    <row r="124" spans="1:10" ht="69.95" customHeight="1" x14ac:dyDescent="0.3">
      <c r="A124" s="261" t="s">
        <v>30</v>
      </c>
      <c r="B124" s="264"/>
      <c r="C124" s="264"/>
      <c r="E124" s="264"/>
      <c r="F124" s="98"/>
      <c r="G124" s="265"/>
      <c r="H124" s="265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5" sqref="A15:G61"/>
    </sheetView>
  </sheetViews>
  <sheetFormatPr defaultRowHeight="13.5" x14ac:dyDescent="0.25"/>
  <cols>
    <col min="1" max="1" width="27.5703125" style="410" customWidth="1"/>
    <col min="2" max="2" width="20.42578125" style="410" customWidth="1"/>
    <col min="3" max="3" width="31.85546875" style="410" customWidth="1"/>
    <col min="4" max="4" width="25.85546875" style="410" customWidth="1"/>
    <col min="5" max="5" width="25.7109375" style="410" customWidth="1"/>
    <col min="6" max="6" width="23.140625" style="410" customWidth="1"/>
    <col min="7" max="7" width="28.42578125" style="410" customWidth="1"/>
    <col min="8" max="8" width="21.5703125" style="410" customWidth="1"/>
    <col min="9" max="9" width="9.140625" style="410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64" t="s">
        <v>0</v>
      </c>
      <c r="B15" s="464"/>
      <c r="C15" s="464"/>
      <c r="D15" s="464"/>
      <c r="E15" s="464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72"/>
    </row>
    <row r="18" spans="1:5" ht="16.5" customHeight="1" x14ac:dyDescent="0.3">
      <c r="A18" s="75" t="s">
        <v>4</v>
      </c>
      <c r="B18" s="8" t="s">
        <v>128</v>
      </c>
      <c r="C18" s="72"/>
      <c r="D18" s="72"/>
      <c r="E18" s="72"/>
    </row>
    <row r="19" spans="1:5" ht="16.5" customHeight="1" x14ac:dyDescent="0.3">
      <c r="A19" s="75" t="s">
        <v>6</v>
      </c>
      <c r="B19" s="12">
        <v>98.5</v>
      </c>
      <c r="C19" s="72"/>
      <c r="D19" s="72"/>
      <c r="E19" s="72"/>
    </row>
    <row r="20" spans="1:5" ht="16.5" customHeight="1" x14ac:dyDescent="0.3">
      <c r="A20" s="8" t="s">
        <v>8</v>
      </c>
      <c r="B20" s="12">
        <v>8.11</v>
      </c>
      <c r="C20" s="72"/>
      <c r="D20" s="72"/>
      <c r="E20" s="72"/>
    </row>
    <row r="21" spans="1:5" ht="16.5" customHeight="1" x14ac:dyDescent="0.3">
      <c r="A21" s="8" t="s">
        <v>10</v>
      </c>
      <c r="B21" s="13">
        <f>8.11/50*5/25</f>
        <v>3.2439999999999997E-2</v>
      </c>
      <c r="C21" s="72"/>
      <c r="D21" s="72"/>
      <c r="E21" s="72"/>
    </row>
    <row r="22" spans="1:5" ht="15.75" customHeight="1" x14ac:dyDescent="0.25">
      <c r="A22" s="72"/>
      <c r="B22" s="72"/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11244901</v>
      </c>
      <c r="C24" s="18">
        <v>9188.2999999999993</v>
      </c>
      <c r="D24" s="19">
        <v>1.1000000000000001</v>
      </c>
      <c r="E24" s="20">
        <v>2.9</v>
      </c>
    </row>
    <row r="25" spans="1:5" ht="16.5" customHeight="1" x14ac:dyDescent="0.3">
      <c r="A25" s="17">
        <v>2</v>
      </c>
      <c r="B25" s="18">
        <v>11269310</v>
      </c>
      <c r="C25" s="18">
        <v>9195.1</v>
      </c>
      <c r="D25" s="19">
        <v>1.1000000000000001</v>
      </c>
      <c r="E25" s="19">
        <v>2.9</v>
      </c>
    </row>
    <row r="26" spans="1:5" ht="16.5" customHeight="1" x14ac:dyDescent="0.3">
      <c r="A26" s="17">
        <v>3</v>
      </c>
      <c r="B26" s="18">
        <v>11276841</v>
      </c>
      <c r="C26" s="18">
        <v>9203.9</v>
      </c>
      <c r="D26" s="19">
        <v>1.1000000000000001</v>
      </c>
      <c r="E26" s="19">
        <v>2.9</v>
      </c>
    </row>
    <row r="27" spans="1:5" ht="16.5" customHeight="1" x14ac:dyDescent="0.3">
      <c r="A27" s="17">
        <v>4</v>
      </c>
      <c r="B27" s="18">
        <v>11270495</v>
      </c>
      <c r="C27" s="18">
        <v>9199.9</v>
      </c>
      <c r="D27" s="19">
        <v>1.1000000000000001</v>
      </c>
      <c r="E27" s="19">
        <v>2.9</v>
      </c>
    </row>
    <row r="28" spans="1:5" ht="16.5" customHeight="1" x14ac:dyDescent="0.3">
      <c r="A28" s="17">
        <v>5</v>
      </c>
      <c r="B28" s="18">
        <v>11270271</v>
      </c>
      <c r="C28" s="18">
        <v>9161.5</v>
      </c>
      <c r="D28" s="19">
        <v>1.1000000000000001</v>
      </c>
      <c r="E28" s="19">
        <v>2.9</v>
      </c>
    </row>
    <row r="29" spans="1:5" ht="16.5" customHeight="1" x14ac:dyDescent="0.3">
      <c r="A29" s="17">
        <v>6</v>
      </c>
      <c r="B29" s="21">
        <v>11272591</v>
      </c>
      <c r="C29" s="21">
        <v>9180.4</v>
      </c>
      <c r="D29" s="22">
        <v>1.1000000000000001</v>
      </c>
      <c r="E29" s="22">
        <v>2.9</v>
      </c>
    </row>
    <row r="30" spans="1:5" ht="16.5" customHeight="1" x14ac:dyDescent="0.3">
      <c r="A30" s="23" t="s">
        <v>18</v>
      </c>
      <c r="B30" s="24">
        <f>AVERAGE(B24:B29)</f>
        <v>11267401.5</v>
      </c>
      <c r="C30" s="25">
        <f>AVERAGE(C24:C29)</f>
        <v>9188.1833333333343</v>
      </c>
      <c r="D30" s="26">
        <f>AVERAGE(D24:D29)</f>
        <v>1.0999999999999999</v>
      </c>
      <c r="E30" s="26">
        <f>AVERAGE(E24:E29)</f>
        <v>2.9</v>
      </c>
    </row>
    <row r="31" spans="1:5" ht="16.5" customHeight="1" x14ac:dyDescent="0.3">
      <c r="A31" s="27" t="s">
        <v>19</v>
      </c>
      <c r="B31" s="28">
        <f>(STDEV(B24:B29)/B30)</f>
        <v>1.0070501581719027E-3</v>
      </c>
      <c r="C31" s="29"/>
      <c r="D31" s="29"/>
      <c r="E31" s="30"/>
    </row>
    <row r="32" spans="1:5" s="410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410" customFormat="1" ht="15.75" customHeight="1" x14ac:dyDescent="0.25">
      <c r="A33" s="72"/>
      <c r="B33" s="72"/>
      <c r="C33" s="72"/>
      <c r="D33" s="72"/>
      <c r="E33" s="72"/>
    </row>
    <row r="34" spans="1:5" s="410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25</v>
      </c>
    </row>
    <row r="39" spans="1:5" ht="16.5" customHeight="1" x14ac:dyDescent="0.3">
      <c r="A39" s="75" t="s">
        <v>4</v>
      </c>
      <c r="C39" s="72"/>
      <c r="D39" s="72"/>
      <c r="E39" s="72"/>
    </row>
    <row r="40" spans="1:5" ht="16.5" customHeight="1" x14ac:dyDescent="0.3">
      <c r="A40" s="75" t="s">
        <v>6</v>
      </c>
      <c r="B40" s="12"/>
      <c r="C40" s="72"/>
      <c r="D40" s="72"/>
      <c r="E40" s="72"/>
    </row>
    <row r="41" spans="1:5" ht="16.5" customHeight="1" x14ac:dyDescent="0.3">
      <c r="A41" s="8" t="s">
        <v>8</v>
      </c>
      <c r="B41" s="12"/>
      <c r="C41" s="72"/>
      <c r="D41" s="72"/>
      <c r="E41" s="72"/>
    </row>
    <row r="42" spans="1:5" ht="16.5" customHeight="1" x14ac:dyDescent="0.3">
      <c r="A42" s="8" t="s">
        <v>10</v>
      </c>
      <c r="B42" s="13"/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</row>
    <row r="53" spans="1:7" s="410" customFormat="1" ht="16.5" customHeight="1" x14ac:dyDescent="0.3">
      <c r="A53" s="31" t="s">
        <v>20</v>
      </c>
      <c r="B53" s="32">
        <f>COUNT(B45:B50)</f>
        <v>0</v>
      </c>
      <c r="C53" s="33"/>
      <c r="D53" s="73"/>
      <c r="E53" s="35"/>
    </row>
    <row r="54" spans="1:7" s="410" customFormat="1" ht="15.75" customHeight="1" x14ac:dyDescent="0.25">
      <c r="A54" s="72"/>
      <c r="B54" s="72"/>
      <c r="C54" s="72"/>
      <c r="D54" s="72"/>
      <c r="E54" s="72"/>
    </row>
    <row r="55" spans="1:7" s="410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333"/>
      <c r="D58" s="43"/>
      <c r="F58" s="44"/>
      <c r="G58" s="44"/>
    </row>
    <row r="59" spans="1:7" ht="15" customHeight="1" x14ac:dyDescent="0.3">
      <c r="B59" s="465" t="s">
        <v>26</v>
      </c>
      <c r="C59" s="465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9" t="s">
        <v>126</v>
      </c>
      <c r="C60" s="49"/>
      <c r="E60" s="49" t="s">
        <v>127</v>
      </c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sqref="A1:I127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02" t="s">
        <v>45</v>
      </c>
      <c r="B1" s="502"/>
      <c r="C1" s="502"/>
      <c r="D1" s="502"/>
      <c r="E1" s="502"/>
      <c r="F1" s="502"/>
      <c r="G1" s="502"/>
      <c r="H1" s="502"/>
      <c r="I1" s="502"/>
    </row>
    <row r="2" spans="1:9" ht="18.75" customHeight="1" x14ac:dyDescent="0.25">
      <c r="A2" s="502"/>
      <c r="B2" s="502"/>
      <c r="C2" s="502"/>
      <c r="D2" s="502"/>
      <c r="E2" s="502"/>
      <c r="F2" s="502"/>
      <c r="G2" s="502"/>
      <c r="H2" s="502"/>
      <c r="I2" s="502"/>
    </row>
    <row r="3" spans="1:9" ht="18.75" customHeight="1" x14ac:dyDescent="0.25">
      <c r="A3" s="502"/>
      <c r="B3" s="502"/>
      <c r="C3" s="502"/>
      <c r="D3" s="502"/>
      <c r="E3" s="502"/>
      <c r="F3" s="502"/>
      <c r="G3" s="502"/>
      <c r="H3" s="502"/>
      <c r="I3" s="502"/>
    </row>
    <row r="4" spans="1:9" ht="18.75" customHeight="1" x14ac:dyDescent="0.25">
      <c r="A4" s="502"/>
      <c r="B4" s="502"/>
      <c r="C4" s="502"/>
      <c r="D4" s="502"/>
      <c r="E4" s="502"/>
      <c r="F4" s="502"/>
      <c r="G4" s="502"/>
      <c r="H4" s="502"/>
      <c r="I4" s="502"/>
    </row>
    <row r="5" spans="1:9" ht="18.75" customHeight="1" x14ac:dyDescent="0.25">
      <c r="A5" s="502"/>
      <c r="B5" s="502"/>
      <c r="C5" s="502"/>
      <c r="D5" s="502"/>
      <c r="E5" s="502"/>
      <c r="F5" s="502"/>
      <c r="G5" s="502"/>
      <c r="H5" s="502"/>
      <c r="I5" s="502"/>
    </row>
    <row r="6" spans="1:9" ht="18.75" customHeight="1" x14ac:dyDescent="0.25">
      <c r="A6" s="502"/>
      <c r="B6" s="502"/>
      <c r="C6" s="502"/>
      <c r="D6" s="502"/>
      <c r="E6" s="502"/>
      <c r="F6" s="502"/>
      <c r="G6" s="502"/>
      <c r="H6" s="502"/>
      <c r="I6" s="502"/>
    </row>
    <row r="7" spans="1:9" ht="18.75" customHeight="1" x14ac:dyDescent="0.25">
      <c r="A7" s="502"/>
      <c r="B7" s="502"/>
      <c r="C7" s="502"/>
      <c r="D7" s="502"/>
      <c r="E7" s="502"/>
      <c r="F7" s="502"/>
      <c r="G7" s="502"/>
      <c r="H7" s="502"/>
      <c r="I7" s="502"/>
    </row>
    <row r="8" spans="1:9" x14ac:dyDescent="0.25">
      <c r="A8" s="503" t="s">
        <v>46</v>
      </c>
      <c r="B8" s="503"/>
      <c r="C8" s="503"/>
      <c r="D8" s="503"/>
      <c r="E8" s="503"/>
      <c r="F8" s="503"/>
      <c r="G8" s="503"/>
      <c r="H8" s="503"/>
      <c r="I8" s="503"/>
    </row>
    <row r="9" spans="1:9" x14ac:dyDescent="0.25">
      <c r="A9" s="503"/>
      <c r="B9" s="503"/>
      <c r="C9" s="503"/>
      <c r="D9" s="503"/>
      <c r="E9" s="503"/>
      <c r="F9" s="503"/>
      <c r="G9" s="503"/>
      <c r="H9" s="503"/>
      <c r="I9" s="503"/>
    </row>
    <row r="10" spans="1:9" x14ac:dyDescent="0.25">
      <c r="A10" s="503"/>
      <c r="B10" s="503"/>
      <c r="C10" s="503"/>
      <c r="D10" s="503"/>
      <c r="E10" s="503"/>
      <c r="F10" s="503"/>
      <c r="G10" s="503"/>
      <c r="H10" s="503"/>
      <c r="I10" s="503"/>
    </row>
    <row r="11" spans="1:9" x14ac:dyDescent="0.25">
      <c r="A11" s="503"/>
      <c r="B11" s="503"/>
      <c r="C11" s="503"/>
      <c r="D11" s="503"/>
      <c r="E11" s="503"/>
      <c r="F11" s="503"/>
      <c r="G11" s="503"/>
      <c r="H11" s="503"/>
      <c r="I11" s="503"/>
    </row>
    <row r="12" spans="1:9" x14ac:dyDescent="0.25">
      <c r="A12" s="503"/>
      <c r="B12" s="503"/>
      <c r="C12" s="503"/>
      <c r="D12" s="503"/>
      <c r="E12" s="503"/>
      <c r="F12" s="503"/>
      <c r="G12" s="503"/>
      <c r="H12" s="503"/>
      <c r="I12" s="503"/>
    </row>
    <row r="13" spans="1:9" x14ac:dyDescent="0.25">
      <c r="A13" s="503"/>
      <c r="B13" s="503"/>
      <c r="C13" s="503"/>
      <c r="D13" s="503"/>
      <c r="E13" s="503"/>
      <c r="F13" s="503"/>
      <c r="G13" s="503"/>
      <c r="H13" s="503"/>
      <c r="I13" s="503"/>
    </row>
    <row r="14" spans="1:9" x14ac:dyDescent="0.25">
      <c r="A14" s="503"/>
      <c r="B14" s="503"/>
      <c r="C14" s="503"/>
      <c r="D14" s="503"/>
      <c r="E14" s="503"/>
      <c r="F14" s="503"/>
      <c r="G14" s="503"/>
      <c r="H14" s="503"/>
      <c r="I14" s="503"/>
    </row>
    <row r="15" spans="1:9" ht="19.5" customHeight="1" x14ac:dyDescent="0.3">
      <c r="A15" s="281"/>
    </row>
    <row r="16" spans="1:9" ht="19.5" customHeight="1" x14ac:dyDescent="0.3">
      <c r="A16" s="475" t="s">
        <v>31</v>
      </c>
      <c r="B16" s="476"/>
      <c r="C16" s="476"/>
      <c r="D16" s="476"/>
      <c r="E16" s="476"/>
      <c r="F16" s="476"/>
      <c r="G16" s="476"/>
      <c r="H16" s="477"/>
    </row>
    <row r="17" spans="1:14" ht="20.25" customHeight="1" x14ac:dyDescent="0.25">
      <c r="A17" s="478" t="s">
        <v>47</v>
      </c>
      <c r="B17" s="478"/>
      <c r="C17" s="478"/>
      <c r="D17" s="478"/>
      <c r="E17" s="478"/>
      <c r="F17" s="478"/>
      <c r="G17" s="478"/>
      <c r="H17" s="478"/>
    </row>
    <row r="18" spans="1:14" ht="26.25" customHeight="1" x14ac:dyDescent="0.4">
      <c r="A18" s="283" t="s">
        <v>33</v>
      </c>
      <c r="B18" s="474" t="s">
        <v>5</v>
      </c>
      <c r="C18" s="474"/>
      <c r="D18" s="450"/>
      <c r="E18" s="284"/>
      <c r="F18" s="285"/>
      <c r="G18" s="285"/>
      <c r="H18" s="285"/>
    </row>
    <row r="19" spans="1:14" ht="26.25" customHeight="1" x14ac:dyDescent="0.4">
      <c r="A19" s="283" t="s">
        <v>34</v>
      </c>
      <c r="B19" s="286" t="s">
        <v>7</v>
      </c>
      <c r="C19" s="463">
        <v>29</v>
      </c>
      <c r="D19" s="285"/>
      <c r="E19" s="285"/>
      <c r="F19" s="285"/>
      <c r="G19" s="285"/>
      <c r="H19" s="285"/>
    </row>
    <row r="20" spans="1:14" ht="26.25" customHeight="1" x14ac:dyDescent="0.4">
      <c r="A20" s="283" t="s">
        <v>35</v>
      </c>
      <c r="B20" s="479" t="s">
        <v>128</v>
      </c>
      <c r="C20" s="479"/>
      <c r="D20" s="285"/>
      <c r="E20" s="285"/>
      <c r="F20" s="285"/>
      <c r="G20" s="285"/>
      <c r="H20" s="285"/>
    </row>
    <row r="21" spans="1:14" ht="26.25" customHeight="1" x14ac:dyDescent="0.4">
      <c r="A21" s="283" t="s">
        <v>36</v>
      </c>
      <c r="B21" s="479" t="s">
        <v>11</v>
      </c>
      <c r="C21" s="479"/>
      <c r="D21" s="479"/>
      <c r="E21" s="479"/>
      <c r="F21" s="479"/>
      <c r="G21" s="479"/>
      <c r="H21" s="479"/>
      <c r="I21" s="287"/>
    </row>
    <row r="22" spans="1:14" ht="26.25" customHeight="1" x14ac:dyDescent="0.4">
      <c r="A22" s="283" t="s">
        <v>37</v>
      </c>
      <c r="B22" s="288">
        <v>42533</v>
      </c>
      <c r="C22" s="285"/>
      <c r="D22" s="285"/>
      <c r="E22" s="285"/>
      <c r="F22" s="285"/>
      <c r="G22" s="285"/>
      <c r="H22" s="285"/>
    </row>
    <row r="23" spans="1:14" ht="26.25" customHeight="1" x14ac:dyDescent="0.4">
      <c r="A23" s="283" t="s">
        <v>38</v>
      </c>
      <c r="B23" s="288">
        <v>42534</v>
      </c>
      <c r="C23" s="285"/>
      <c r="D23" s="285"/>
      <c r="E23" s="285"/>
      <c r="F23" s="285"/>
      <c r="G23" s="285"/>
      <c r="H23" s="285"/>
    </row>
    <row r="24" spans="1:14" ht="18.75" x14ac:dyDescent="0.3">
      <c r="A24" s="283"/>
      <c r="B24" s="289"/>
    </row>
    <row r="25" spans="1:14" ht="18.75" x14ac:dyDescent="0.3">
      <c r="A25" s="290" t="s">
        <v>1</v>
      </c>
      <c r="B25" s="289"/>
    </row>
    <row r="26" spans="1:14" ht="26.25" customHeight="1" x14ac:dyDescent="0.4">
      <c r="A26" s="291" t="s">
        <v>4</v>
      </c>
      <c r="B26" s="474" t="s">
        <v>128</v>
      </c>
      <c r="C26" s="474"/>
    </row>
    <row r="27" spans="1:14" ht="26.25" customHeight="1" x14ac:dyDescent="0.4">
      <c r="A27" s="292" t="s">
        <v>48</v>
      </c>
      <c r="B27" s="480" t="s">
        <v>130</v>
      </c>
      <c r="C27" s="480"/>
    </row>
    <row r="28" spans="1:14" ht="27" customHeight="1" x14ac:dyDescent="0.4">
      <c r="A28" s="292" t="s">
        <v>6</v>
      </c>
      <c r="B28" s="293">
        <v>98.5</v>
      </c>
    </row>
    <row r="29" spans="1:14" s="14" customFormat="1" ht="27" customHeight="1" x14ac:dyDescent="0.4">
      <c r="A29" s="292" t="s">
        <v>49</v>
      </c>
      <c r="B29" s="294">
        <v>0</v>
      </c>
      <c r="C29" s="481" t="s">
        <v>50</v>
      </c>
      <c r="D29" s="482"/>
      <c r="E29" s="482"/>
      <c r="F29" s="482"/>
      <c r="G29" s="483"/>
      <c r="I29" s="295"/>
      <c r="J29" s="295"/>
      <c r="K29" s="295"/>
      <c r="L29" s="295"/>
    </row>
    <row r="30" spans="1:14" s="14" customFormat="1" ht="19.5" customHeight="1" x14ac:dyDescent="0.3">
      <c r="A30" s="292" t="s">
        <v>51</v>
      </c>
      <c r="B30" s="296">
        <f>B28-B29</f>
        <v>98.5</v>
      </c>
      <c r="C30" s="297"/>
      <c r="D30" s="297"/>
      <c r="E30" s="297"/>
      <c r="F30" s="297"/>
      <c r="G30" s="298"/>
      <c r="I30" s="295"/>
      <c r="J30" s="295"/>
      <c r="K30" s="295"/>
      <c r="L30" s="295"/>
    </row>
    <row r="31" spans="1:14" s="14" customFormat="1" ht="27" customHeight="1" x14ac:dyDescent="0.4">
      <c r="A31" s="292" t="s">
        <v>52</v>
      </c>
      <c r="B31" s="299">
        <v>1</v>
      </c>
      <c r="C31" s="484" t="s">
        <v>53</v>
      </c>
      <c r="D31" s="485"/>
      <c r="E31" s="485"/>
      <c r="F31" s="485"/>
      <c r="G31" s="485"/>
      <c r="H31" s="486"/>
      <c r="I31" s="295"/>
      <c r="J31" s="295"/>
      <c r="K31" s="295"/>
      <c r="L31" s="295"/>
    </row>
    <row r="32" spans="1:14" s="14" customFormat="1" ht="27" customHeight="1" x14ac:dyDescent="0.4">
      <c r="A32" s="292" t="s">
        <v>54</v>
      </c>
      <c r="B32" s="299">
        <v>1</v>
      </c>
      <c r="C32" s="484" t="s">
        <v>55</v>
      </c>
      <c r="D32" s="485"/>
      <c r="E32" s="485"/>
      <c r="F32" s="485"/>
      <c r="G32" s="485"/>
      <c r="H32" s="486"/>
      <c r="I32" s="295"/>
      <c r="J32" s="295"/>
      <c r="K32" s="295"/>
      <c r="L32" s="300"/>
      <c r="M32" s="300"/>
      <c r="N32" s="301"/>
    </row>
    <row r="33" spans="1:14" s="14" customFormat="1" ht="17.25" customHeight="1" x14ac:dyDescent="0.3">
      <c r="A33" s="292"/>
      <c r="B33" s="302"/>
      <c r="C33" s="303"/>
      <c r="D33" s="303"/>
      <c r="E33" s="303"/>
      <c r="F33" s="303"/>
      <c r="G33" s="303"/>
      <c r="H33" s="303"/>
      <c r="I33" s="295"/>
      <c r="J33" s="295"/>
      <c r="K33" s="295"/>
      <c r="L33" s="300"/>
      <c r="M33" s="300"/>
      <c r="N33" s="301"/>
    </row>
    <row r="34" spans="1:14" s="14" customFormat="1" ht="18.75" x14ac:dyDescent="0.3">
      <c r="A34" s="292" t="s">
        <v>56</v>
      </c>
      <c r="B34" s="304">
        <f>B31/B32</f>
        <v>1</v>
      </c>
      <c r="C34" s="282" t="s">
        <v>57</v>
      </c>
      <c r="D34" s="282"/>
      <c r="E34" s="282"/>
      <c r="F34" s="282"/>
      <c r="G34" s="282"/>
      <c r="I34" s="295"/>
      <c r="J34" s="295"/>
      <c r="K34" s="295"/>
      <c r="L34" s="300"/>
      <c r="M34" s="300"/>
      <c r="N34" s="301"/>
    </row>
    <row r="35" spans="1:14" s="14" customFormat="1" ht="19.5" customHeight="1" x14ac:dyDescent="0.3">
      <c r="A35" s="292"/>
      <c r="B35" s="296"/>
      <c r="G35" s="282"/>
      <c r="I35" s="295"/>
      <c r="J35" s="295"/>
      <c r="K35" s="295"/>
      <c r="L35" s="300"/>
      <c r="M35" s="300"/>
      <c r="N35" s="301"/>
    </row>
    <row r="36" spans="1:14" s="14" customFormat="1" ht="27" customHeight="1" x14ac:dyDescent="0.4">
      <c r="A36" s="305" t="s">
        <v>58</v>
      </c>
      <c r="B36" s="306">
        <v>50</v>
      </c>
      <c r="C36" s="282"/>
      <c r="D36" s="487" t="s">
        <v>59</v>
      </c>
      <c r="E36" s="488"/>
      <c r="F36" s="487" t="s">
        <v>60</v>
      </c>
      <c r="G36" s="489"/>
      <c r="J36" s="295"/>
      <c r="K36" s="295"/>
      <c r="L36" s="300"/>
      <c r="M36" s="300"/>
      <c r="N36" s="301"/>
    </row>
    <row r="37" spans="1:14" s="14" customFormat="1" ht="27" customHeight="1" x14ac:dyDescent="0.4">
      <c r="A37" s="307" t="s">
        <v>61</v>
      </c>
      <c r="B37" s="308">
        <v>5</v>
      </c>
      <c r="C37" s="309" t="s">
        <v>62</v>
      </c>
      <c r="D37" s="310" t="s">
        <v>63</v>
      </c>
      <c r="E37" s="311" t="s">
        <v>64</v>
      </c>
      <c r="F37" s="310" t="s">
        <v>63</v>
      </c>
      <c r="G37" s="312" t="s">
        <v>64</v>
      </c>
      <c r="I37" s="313" t="s">
        <v>65</v>
      </c>
      <c r="J37" s="295"/>
      <c r="K37" s="295"/>
      <c r="L37" s="300"/>
      <c r="M37" s="300"/>
      <c r="N37" s="301"/>
    </row>
    <row r="38" spans="1:14" s="14" customFormat="1" ht="26.25" customHeight="1" x14ac:dyDescent="0.4">
      <c r="A38" s="307" t="s">
        <v>66</v>
      </c>
      <c r="B38" s="308">
        <v>25</v>
      </c>
      <c r="C38" s="314">
        <v>1</v>
      </c>
      <c r="D38" s="315">
        <v>11214252</v>
      </c>
      <c r="E38" s="316">
        <f>IF(ISBLANK(D38),"-",$D$48/$D$45*D38)</f>
        <v>10528693.660142584</v>
      </c>
      <c r="F38" s="315">
        <v>10337907</v>
      </c>
      <c r="G38" s="317">
        <f>IF(ISBLANK(F38),"-",$D$48/$F$45*F38)</f>
        <v>10782880.536819415</v>
      </c>
      <c r="I38" s="318"/>
      <c r="J38" s="295"/>
      <c r="K38" s="295"/>
      <c r="L38" s="300"/>
      <c r="M38" s="300"/>
      <c r="N38" s="301"/>
    </row>
    <row r="39" spans="1:14" s="14" customFormat="1" ht="26.25" customHeight="1" x14ac:dyDescent="0.4">
      <c r="A39" s="307" t="s">
        <v>67</v>
      </c>
      <c r="B39" s="308">
        <v>1</v>
      </c>
      <c r="C39" s="319">
        <v>2</v>
      </c>
      <c r="D39" s="320">
        <v>11231266</v>
      </c>
      <c r="E39" s="321">
        <f>IF(ISBLANK(D39),"-",$D$48/$D$45*D39)</f>
        <v>10544667.547115488</v>
      </c>
      <c r="F39" s="320">
        <v>10337217</v>
      </c>
      <c r="G39" s="322">
        <f>IF(ISBLANK(F39),"-",$D$48/$F$45*F39)</f>
        <v>10782160.837215772</v>
      </c>
      <c r="I39" s="491">
        <f>ABS((F43/D43*D42)-F42)/D42</f>
        <v>2.0647943733206553E-2</v>
      </c>
      <c r="J39" s="295"/>
      <c r="K39" s="295"/>
      <c r="L39" s="300"/>
      <c r="M39" s="300"/>
      <c r="N39" s="301"/>
    </row>
    <row r="40" spans="1:14" ht="26.25" customHeight="1" x14ac:dyDescent="0.4">
      <c r="A40" s="307" t="s">
        <v>68</v>
      </c>
      <c r="B40" s="308">
        <v>1</v>
      </c>
      <c r="C40" s="319">
        <v>3</v>
      </c>
      <c r="D40" s="320">
        <v>11233960</v>
      </c>
      <c r="E40" s="321">
        <f>IF(ISBLANK(D40),"-",$D$48/$D$45*D40)</f>
        <v>10547196.855420707</v>
      </c>
      <c r="F40" s="320">
        <v>10335971</v>
      </c>
      <c r="G40" s="322">
        <f>IF(ISBLANK(F40),"-",$D$48/$F$45*F40)</f>
        <v>10780861.205757597</v>
      </c>
      <c r="I40" s="491"/>
      <c r="L40" s="300"/>
      <c r="M40" s="300"/>
      <c r="N40" s="323"/>
    </row>
    <row r="41" spans="1:14" ht="27" customHeight="1" x14ac:dyDescent="0.4">
      <c r="A41" s="307" t="s">
        <v>69</v>
      </c>
      <c r="B41" s="308">
        <v>1</v>
      </c>
      <c r="C41" s="324">
        <v>4</v>
      </c>
      <c r="D41" s="325"/>
      <c r="E41" s="326" t="str">
        <f>IF(ISBLANK(D41),"-",$D$48/$D$45*D41)</f>
        <v>-</v>
      </c>
      <c r="F41" s="325"/>
      <c r="G41" s="327" t="str">
        <f>IF(ISBLANK(F41),"-",$D$48/$F$45*F41)</f>
        <v>-</v>
      </c>
      <c r="I41" s="328"/>
      <c r="L41" s="300"/>
      <c r="M41" s="300"/>
      <c r="N41" s="323"/>
    </row>
    <row r="42" spans="1:14" ht="27" customHeight="1" x14ac:dyDescent="0.4">
      <c r="A42" s="307" t="s">
        <v>70</v>
      </c>
      <c r="B42" s="308">
        <v>1</v>
      </c>
      <c r="C42" s="329" t="s">
        <v>71</v>
      </c>
      <c r="D42" s="330">
        <f>AVERAGE(D38:D41)</f>
        <v>11226492.666666666</v>
      </c>
      <c r="E42" s="331">
        <f>AVERAGE(E38:E41)</f>
        <v>10540186.020892926</v>
      </c>
      <c r="F42" s="330">
        <f>AVERAGE(F38:F41)</f>
        <v>10337031.666666666</v>
      </c>
      <c r="G42" s="332">
        <f>AVERAGE(G38:G41)</f>
        <v>10781967.526597595</v>
      </c>
      <c r="H42" s="333"/>
    </row>
    <row r="43" spans="1:14" ht="26.25" customHeight="1" x14ac:dyDescent="0.4">
      <c r="A43" s="307" t="s">
        <v>72</v>
      </c>
      <c r="B43" s="308">
        <v>1</v>
      </c>
      <c r="C43" s="334" t="s">
        <v>73</v>
      </c>
      <c r="D43" s="335">
        <v>8.11</v>
      </c>
      <c r="E43" s="323"/>
      <c r="F43" s="335">
        <v>7.3</v>
      </c>
      <c r="H43" s="333"/>
    </row>
    <row r="44" spans="1:14" ht="26.25" customHeight="1" x14ac:dyDescent="0.4">
      <c r="A44" s="307" t="s">
        <v>74</v>
      </c>
      <c r="B44" s="308">
        <v>1</v>
      </c>
      <c r="C44" s="336" t="s">
        <v>75</v>
      </c>
      <c r="D44" s="337">
        <f>D43*$B$34</f>
        <v>8.11</v>
      </c>
      <c r="E44" s="338"/>
      <c r="F44" s="337">
        <f>F43*$B$34</f>
        <v>7.3</v>
      </c>
      <c r="H44" s="333"/>
    </row>
    <row r="45" spans="1:14" ht="19.5" customHeight="1" x14ac:dyDescent="0.3">
      <c r="A45" s="307" t="s">
        <v>76</v>
      </c>
      <c r="B45" s="339">
        <f>(B44/B43)*(B42/B41)*(B40/B39)*(B38/B37)*B36</f>
        <v>250</v>
      </c>
      <c r="C45" s="336" t="s">
        <v>77</v>
      </c>
      <c r="D45" s="340">
        <f>D44*$B$30/100</f>
        <v>7.9883499999999996</v>
      </c>
      <c r="E45" s="341"/>
      <c r="F45" s="340">
        <f>F44*$B$30/100</f>
        <v>7.1904999999999992</v>
      </c>
      <c r="H45" s="333"/>
    </row>
    <row r="46" spans="1:14" ht="19.5" customHeight="1" x14ac:dyDescent="0.3">
      <c r="A46" s="492" t="s">
        <v>78</v>
      </c>
      <c r="B46" s="493"/>
      <c r="C46" s="336" t="s">
        <v>79</v>
      </c>
      <c r="D46" s="342">
        <f>D45/$B$45</f>
        <v>3.19534E-2</v>
      </c>
      <c r="E46" s="343"/>
      <c r="F46" s="344">
        <f>F45/$B$45</f>
        <v>2.8761999999999996E-2</v>
      </c>
      <c r="H46" s="333"/>
    </row>
    <row r="47" spans="1:14" ht="27" customHeight="1" x14ac:dyDescent="0.4">
      <c r="A47" s="494"/>
      <c r="B47" s="495"/>
      <c r="C47" s="345" t="s">
        <v>80</v>
      </c>
      <c r="D47" s="346">
        <v>0.03</v>
      </c>
      <c r="E47" s="347"/>
      <c r="F47" s="343"/>
      <c r="H47" s="333"/>
    </row>
    <row r="48" spans="1:14" ht="18.75" x14ac:dyDescent="0.3">
      <c r="C48" s="348" t="s">
        <v>81</v>
      </c>
      <c r="D48" s="340">
        <f>D47*$B$45</f>
        <v>7.5</v>
      </c>
      <c r="F48" s="349"/>
      <c r="H48" s="333"/>
    </row>
    <row r="49" spans="1:12" ht="19.5" customHeight="1" x14ac:dyDescent="0.3">
      <c r="C49" s="350" t="s">
        <v>82</v>
      </c>
      <c r="D49" s="351">
        <f>D48/B34</f>
        <v>7.5</v>
      </c>
      <c r="F49" s="349"/>
      <c r="H49" s="333"/>
    </row>
    <row r="50" spans="1:12" ht="18.75" x14ac:dyDescent="0.3">
      <c r="C50" s="305" t="s">
        <v>83</v>
      </c>
      <c r="D50" s="352">
        <f>AVERAGE(E38:E41,G38:G41)</f>
        <v>10661076.773745259</v>
      </c>
      <c r="F50" s="353"/>
      <c r="H50" s="333"/>
    </row>
    <row r="51" spans="1:12" ht="18.75" x14ac:dyDescent="0.3">
      <c r="C51" s="307" t="s">
        <v>84</v>
      </c>
      <c r="D51" s="354">
        <f>STDEV(E38:E41,G38:G41)/D50</f>
        <v>1.2436144482098406E-2</v>
      </c>
      <c r="F51" s="353"/>
      <c r="H51" s="333"/>
    </row>
    <row r="52" spans="1:12" ht="19.5" customHeight="1" x14ac:dyDescent="0.3">
      <c r="C52" s="355" t="s">
        <v>20</v>
      </c>
      <c r="D52" s="356">
        <f>COUNT(E38:E41,G38:G41)</f>
        <v>6</v>
      </c>
      <c r="F52" s="353"/>
    </row>
    <row r="54" spans="1:12" ht="18.75" x14ac:dyDescent="0.3">
      <c r="A54" s="357" t="s">
        <v>1</v>
      </c>
      <c r="B54" s="358" t="s">
        <v>85</v>
      </c>
    </row>
    <row r="55" spans="1:12" ht="18.75" x14ac:dyDescent="0.3">
      <c r="A55" s="282" t="s">
        <v>86</v>
      </c>
      <c r="B55" s="359" t="str">
        <f>B21</f>
        <v>Each Tablet contains: Rifampicin 60mg, Isoniazid 30mg</v>
      </c>
    </row>
    <row r="56" spans="1:12" ht="26.25" customHeight="1" x14ac:dyDescent="0.4">
      <c r="A56" s="360" t="s">
        <v>87</v>
      </c>
      <c r="B56" s="361">
        <v>30</v>
      </c>
      <c r="C56" s="282" t="str">
        <f>B20</f>
        <v>Isoniazid</v>
      </c>
      <c r="H56" s="362"/>
    </row>
    <row r="57" spans="1:12" ht="18.75" x14ac:dyDescent="0.3">
      <c r="A57" s="359" t="s">
        <v>88</v>
      </c>
      <c r="B57" s="451">
        <f>Uniformity!C46</f>
        <v>239.291</v>
      </c>
      <c r="H57" s="362"/>
    </row>
    <row r="58" spans="1:12" ht="19.5" customHeight="1" x14ac:dyDescent="0.3">
      <c r="H58" s="362"/>
    </row>
    <row r="59" spans="1:12" s="14" customFormat="1" ht="27" customHeight="1" x14ac:dyDescent="0.4">
      <c r="A59" s="305" t="s">
        <v>89</v>
      </c>
      <c r="B59" s="306">
        <v>100</v>
      </c>
      <c r="C59" s="282"/>
      <c r="D59" s="363" t="s">
        <v>90</v>
      </c>
      <c r="E59" s="364" t="s">
        <v>62</v>
      </c>
      <c r="F59" s="364" t="s">
        <v>63</v>
      </c>
      <c r="G59" s="364" t="s">
        <v>91</v>
      </c>
      <c r="H59" s="309" t="s">
        <v>92</v>
      </c>
      <c r="L59" s="295"/>
    </row>
    <row r="60" spans="1:12" s="14" customFormat="1" ht="26.25" customHeight="1" x14ac:dyDescent="0.4">
      <c r="A60" s="307" t="s">
        <v>93</v>
      </c>
      <c r="B60" s="308">
        <v>1</v>
      </c>
      <c r="C60" s="496" t="s">
        <v>94</v>
      </c>
      <c r="D60" s="499">
        <v>22.35</v>
      </c>
      <c r="E60" s="365">
        <v>1</v>
      </c>
      <c r="F60" s="366">
        <v>10001058</v>
      </c>
      <c r="G60" s="452">
        <f>IF(ISBLANK(F60),"-",(F60/$D$50*$D$47*$B$68)*($B$57/$D$60))</f>
        <v>30.131098622177287</v>
      </c>
      <c r="H60" s="367">
        <f t="shared" ref="H60:H71" si="0">IF(ISBLANK(F60),"-",G60/$B$56)</f>
        <v>1.0043699540725763</v>
      </c>
      <c r="L60" s="295"/>
    </row>
    <row r="61" spans="1:12" s="14" customFormat="1" ht="26.25" customHeight="1" x14ac:dyDescent="0.4">
      <c r="A61" s="307" t="s">
        <v>95</v>
      </c>
      <c r="B61" s="308">
        <v>1</v>
      </c>
      <c r="C61" s="497"/>
      <c r="D61" s="500"/>
      <c r="E61" s="368">
        <v>2</v>
      </c>
      <c r="F61" s="320">
        <v>9982633</v>
      </c>
      <c r="G61" s="453">
        <f>IF(ISBLANK(F61),"-",(F61/$D$50*$D$47*$B$68)*($B$57/$D$60))</f>
        <v>30.075587945995469</v>
      </c>
      <c r="H61" s="369">
        <f t="shared" si="0"/>
        <v>1.0025195981998489</v>
      </c>
      <c r="L61" s="295"/>
    </row>
    <row r="62" spans="1:12" s="14" customFormat="1" ht="26.25" customHeight="1" x14ac:dyDescent="0.4">
      <c r="A62" s="307" t="s">
        <v>96</v>
      </c>
      <c r="B62" s="308">
        <v>1</v>
      </c>
      <c r="C62" s="497"/>
      <c r="D62" s="500"/>
      <c r="E62" s="368">
        <v>3</v>
      </c>
      <c r="F62" s="370">
        <v>9994509</v>
      </c>
      <c r="G62" s="453">
        <f>IF(ISBLANK(F62),"-",(F62/$D$50*$D$47*$B$68)*($B$57/$D$60))</f>
        <v>30.111367853204989</v>
      </c>
      <c r="H62" s="369">
        <f t="shared" si="0"/>
        <v>1.0037122617734997</v>
      </c>
      <c r="L62" s="295"/>
    </row>
    <row r="63" spans="1:12" ht="27" customHeight="1" x14ac:dyDescent="0.4">
      <c r="A63" s="307" t="s">
        <v>97</v>
      </c>
      <c r="B63" s="308">
        <v>1</v>
      </c>
      <c r="C63" s="498"/>
      <c r="D63" s="501"/>
      <c r="E63" s="371">
        <v>4</v>
      </c>
      <c r="F63" s="372"/>
      <c r="G63" s="453" t="str">
        <f>IF(ISBLANK(F63),"-",(F63/$D$50*$D$47*$B$68)*($B$57/$D$60))</f>
        <v>-</v>
      </c>
      <c r="H63" s="369" t="str">
        <f t="shared" si="0"/>
        <v>-</v>
      </c>
    </row>
    <row r="64" spans="1:12" ht="26.25" customHeight="1" x14ac:dyDescent="0.4">
      <c r="A64" s="307" t="s">
        <v>98</v>
      </c>
      <c r="B64" s="308">
        <v>1</v>
      </c>
      <c r="C64" s="496" t="s">
        <v>99</v>
      </c>
      <c r="D64" s="499">
        <v>24.42</v>
      </c>
      <c r="E64" s="365">
        <v>1</v>
      </c>
      <c r="F64" s="366">
        <v>10422205</v>
      </c>
      <c r="G64" s="454">
        <f>IF(ISBLANK(F64),"-",(F64/$D$50*$D$47*$B$68)*($B$57/$D$64))</f>
        <v>28.738262022969398</v>
      </c>
      <c r="H64" s="373">
        <f t="shared" si="0"/>
        <v>0.95794206743231325</v>
      </c>
    </row>
    <row r="65" spans="1:8" ht="26.25" customHeight="1" x14ac:dyDescent="0.4">
      <c r="A65" s="307" t="s">
        <v>100</v>
      </c>
      <c r="B65" s="308">
        <v>1</v>
      </c>
      <c r="C65" s="497"/>
      <c r="D65" s="500"/>
      <c r="E65" s="368">
        <v>2</v>
      </c>
      <c r="F65" s="320">
        <v>10450723</v>
      </c>
      <c r="G65" s="455">
        <f>IF(ISBLANK(F65),"-",(F65/$D$50*$D$47*$B$68)*($B$57/$D$64))</f>
        <v>28.816897758533127</v>
      </c>
      <c r="H65" s="374">
        <f t="shared" si="0"/>
        <v>0.96056325861777092</v>
      </c>
    </row>
    <row r="66" spans="1:8" ht="26.25" customHeight="1" x14ac:dyDescent="0.4">
      <c r="A66" s="307" t="s">
        <v>101</v>
      </c>
      <c r="B66" s="308">
        <v>1</v>
      </c>
      <c r="C66" s="497"/>
      <c r="D66" s="500"/>
      <c r="E66" s="368">
        <v>3</v>
      </c>
      <c r="F66" s="320">
        <v>10446185</v>
      </c>
      <c r="G66" s="455">
        <f>IF(ISBLANK(F66),"-",(F66/$D$50*$D$47*$B$68)*($B$57/$D$64))</f>
        <v>28.804384645131481</v>
      </c>
      <c r="H66" s="374">
        <f t="shared" si="0"/>
        <v>0.96014615483771604</v>
      </c>
    </row>
    <row r="67" spans="1:8" ht="27" customHeight="1" x14ac:dyDescent="0.4">
      <c r="A67" s="307" t="s">
        <v>102</v>
      </c>
      <c r="B67" s="308">
        <v>1</v>
      </c>
      <c r="C67" s="498"/>
      <c r="D67" s="501"/>
      <c r="E67" s="371">
        <v>4</v>
      </c>
      <c r="F67" s="372"/>
      <c r="G67" s="456" t="str">
        <f>IF(ISBLANK(F67),"-",(F67/$D$50*$D$47*$B$68)*($B$57/$D$64))</f>
        <v>-</v>
      </c>
      <c r="H67" s="375" t="str">
        <f t="shared" si="0"/>
        <v>-</v>
      </c>
    </row>
    <row r="68" spans="1:8" ht="26.25" customHeight="1" x14ac:dyDescent="0.4">
      <c r="A68" s="307" t="s">
        <v>103</v>
      </c>
      <c r="B68" s="376">
        <f>(B67/B66)*(B65/B64)*(B63/B62)*(B61/B60)*B59</f>
        <v>100</v>
      </c>
      <c r="C68" s="496" t="s">
        <v>104</v>
      </c>
      <c r="D68" s="499">
        <v>26.22</v>
      </c>
      <c r="E68" s="365">
        <v>1</v>
      </c>
      <c r="F68" s="366">
        <v>11373567</v>
      </c>
      <c r="G68" s="454">
        <f>IF(ISBLANK(F68),"-",(F68/$D$50*$D$47*$B$68)*($B$57/$D$68))</f>
        <v>29.208587234604579</v>
      </c>
      <c r="H68" s="369">
        <f t="shared" si="0"/>
        <v>0.97361957448681935</v>
      </c>
    </row>
    <row r="69" spans="1:8" ht="27" customHeight="1" x14ac:dyDescent="0.4">
      <c r="A69" s="355" t="s">
        <v>105</v>
      </c>
      <c r="B69" s="377">
        <f>(D47*B68)/B56*B57</f>
        <v>23.929100000000002</v>
      </c>
      <c r="C69" s="497"/>
      <c r="D69" s="500"/>
      <c r="E69" s="368">
        <v>2</v>
      </c>
      <c r="F69" s="320">
        <v>11374421</v>
      </c>
      <c r="G69" s="455">
        <f>IF(ISBLANK(F69),"-",(F69/$D$50*$D$47*$B$68)*($B$57/$D$68))</f>
        <v>29.210780401752437</v>
      </c>
      <c r="H69" s="369">
        <f t="shared" si="0"/>
        <v>0.97369268005841458</v>
      </c>
    </row>
    <row r="70" spans="1:8" ht="26.25" customHeight="1" x14ac:dyDescent="0.4">
      <c r="A70" s="509" t="s">
        <v>78</v>
      </c>
      <c r="B70" s="510"/>
      <c r="C70" s="497"/>
      <c r="D70" s="500"/>
      <c r="E70" s="368">
        <v>3</v>
      </c>
      <c r="F70" s="320">
        <v>11369963</v>
      </c>
      <c r="G70" s="455">
        <f>IF(ISBLANK(F70),"-",(F70/$D$50*$D$47*$B$68)*($B$57/$D$68))</f>
        <v>29.199331761067246</v>
      </c>
      <c r="H70" s="369">
        <f t="shared" si="0"/>
        <v>0.97331105870224155</v>
      </c>
    </row>
    <row r="71" spans="1:8" ht="27" customHeight="1" x14ac:dyDescent="0.4">
      <c r="A71" s="511"/>
      <c r="B71" s="512"/>
      <c r="C71" s="508"/>
      <c r="D71" s="501"/>
      <c r="E71" s="371">
        <v>4</v>
      </c>
      <c r="F71" s="372"/>
      <c r="G71" s="456" t="str">
        <f>IF(ISBLANK(F71),"-",(F71/$D$50*$D$47*$B$68)*($B$57/$D$68))</f>
        <v>-</v>
      </c>
      <c r="H71" s="378" t="str">
        <f t="shared" si="0"/>
        <v>-</v>
      </c>
    </row>
    <row r="72" spans="1:8" ht="26.25" customHeight="1" x14ac:dyDescent="0.4">
      <c r="A72" s="379"/>
      <c r="B72" s="379"/>
      <c r="C72" s="379"/>
      <c r="D72" s="379"/>
      <c r="E72" s="379"/>
      <c r="F72" s="381" t="s">
        <v>71</v>
      </c>
      <c r="G72" s="461">
        <f>AVERAGE(G60:G71)</f>
        <v>29.366255360604001</v>
      </c>
      <c r="H72" s="382">
        <f>AVERAGE(H60:H71)</f>
        <v>0.97887517868680007</v>
      </c>
    </row>
    <row r="73" spans="1:8" ht="26.25" customHeight="1" x14ac:dyDescent="0.4">
      <c r="C73" s="379"/>
      <c r="D73" s="379"/>
      <c r="E73" s="379"/>
      <c r="F73" s="383" t="s">
        <v>84</v>
      </c>
      <c r="G73" s="457">
        <f>STDEV(G60:G71)/G72</f>
        <v>1.9900053444366943E-2</v>
      </c>
      <c r="H73" s="457">
        <f>STDEV(H60:H71)/H72</f>
        <v>1.9900053444366961E-2</v>
      </c>
    </row>
    <row r="74" spans="1:8" ht="27" customHeight="1" x14ac:dyDescent="0.4">
      <c r="A74" s="379"/>
      <c r="B74" s="379"/>
      <c r="C74" s="380"/>
      <c r="D74" s="380"/>
      <c r="E74" s="384"/>
      <c r="F74" s="385" t="s">
        <v>20</v>
      </c>
      <c r="G74" s="386">
        <f>COUNT(G60:G71)</f>
        <v>9</v>
      </c>
      <c r="H74" s="386">
        <f>COUNT(H60:H71)</f>
        <v>9</v>
      </c>
    </row>
    <row r="76" spans="1:8" ht="26.25" customHeight="1" x14ac:dyDescent="0.4">
      <c r="A76" s="291" t="s">
        <v>106</v>
      </c>
      <c r="B76" s="387" t="s">
        <v>107</v>
      </c>
      <c r="C76" s="504" t="str">
        <f>B20</f>
        <v>Isoniazid</v>
      </c>
      <c r="D76" s="504"/>
      <c r="E76" s="388" t="s">
        <v>108</v>
      </c>
      <c r="F76" s="388"/>
      <c r="G76" s="389">
        <f>H72</f>
        <v>0.97887517868680007</v>
      </c>
      <c r="H76" s="390"/>
    </row>
    <row r="77" spans="1:8" ht="18.75" x14ac:dyDescent="0.3">
      <c r="A77" s="290" t="s">
        <v>109</v>
      </c>
      <c r="B77" s="290" t="s">
        <v>110</v>
      </c>
    </row>
    <row r="78" spans="1:8" ht="18.75" x14ac:dyDescent="0.3">
      <c r="A78" s="290"/>
      <c r="B78" s="290"/>
    </row>
    <row r="79" spans="1:8" ht="26.25" customHeight="1" x14ac:dyDescent="0.4">
      <c r="A79" s="291" t="s">
        <v>4</v>
      </c>
      <c r="B79" s="490" t="str">
        <f>B26</f>
        <v>Isoniazid</v>
      </c>
      <c r="C79" s="490"/>
    </row>
    <row r="80" spans="1:8" ht="26.25" customHeight="1" x14ac:dyDescent="0.4">
      <c r="A80" s="292" t="s">
        <v>48</v>
      </c>
      <c r="B80" s="490" t="str">
        <f>B27</f>
        <v>I8-2</v>
      </c>
      <c r="C80" s="490"/>
    </row>
    <row r="81" spans="1:12" ht="27" customHeight="1" x14ac:dyDescent="0.4">
      <c r="A81" s="292" t="s">
        <v>6</v>
      </c>
      <c r="B81" s="391">
        <f>B28</f>
        <v>98.5</v>
      </c>
    </row>
    <row r="82" spans="1:12" s="14" customFormat="1" ht="27" customHeight="1" x14ac:dyDescent="0.4">
      <c r="A82" s="292" t="s">
        <v>49</v>
      </c>
      <c r="B82" s="294">
        <v>0</v>
      </c>
      <c r="C82" s="481" t="s">
        <v>50</v>
      </c>
      <c r="D82" s="482"/>
      <c r="E82" s="482"/>
      <c r="F82" s="482"/>
      <c r="G82" s="483"/>
      <c r="I82" s="295"/>
      <c r="J82" s="295"/>
      <c r="K82" s="295"/>
      <c r="L82" s="295"/>
    </row>
    <row r="83" spans="1:12" s="14" customFormat="1" ht="19.5" customHeight="1" x14ac:dyDescent="0.3">
      <c r="A83" s="292" t="s">
        <v>51</v>
      </c>
      <c r="B83" s="296">
        <f>B81-B82</f>
        <v>98.5</v>
      </c>
      <c r="C83" s="297"/>
      <c r="D83" s="297"/>
      <c r="E83" s="297"/>
      <c r="F83" s="297"/>
      <c r="G83" s="298"/>
      <c r="I83" s="295"/>
      <c r="J83" s="295"/>
      <c r="K83" s="295"/>
      <c r="L83" s="295"/>
    </row>
    <row r="84" spans="1:12" s="14" customFormat="1" ht="27" customHeight="1" x14ac:dyDescent="0.4">
      <c r="A84" s="292" t="s">
        <v>52</v>
      </c>
      <c r="B84" s="299">
        <v>1</v>
      </c>
      <c r="C84" s="484" t="s">
        <v>111</v>
      </c>
      <c r="D84" s="485"/>
      <c r="E84" s="485"/>
      <c r="F84" s="485"/>
      <c r="G84" s="485"/>
      <c r="H84" s="486"/>
      <c r="I84" s="295"/>
      <c r="J84" s="295"/>
      <c r="K84" s="295"/>
      <c r="L84" s="295"/>
    </row>
    <row r="85" spans="1:12" s="14" customFormat="1" ht="27" customHeight="1" x14ac:dyDescent="0.4">
      <c r="A85" s="292" t="s">
        <v>54</v>
      </c>
      <c r="B85" s="299">
        <v>1</v>
      </c>
      <c r="C85" s="484" t="s">
        <v>112</v>
      </c>
      <c r="D85" s="485"/>
      <c r="E85" s="485"/>
      <c r="F85" s="485"/>
      <c r="G85" s="485"/>
      <c r="H85" s="486"/>
      <c r="I85" s="295"/>
      <c r="J85" s="295"/>
      <c r="K85" s="295"/>
      <c r="L85" s="295"/>
    </row>
    <row r="86" spans="1:12" s="14" customFormat="1" ht="18.75" x14ac:dyDescent="0.3">
      <c r="A86" s="292"/>
      <c r="B86" s="302"/>
      <c r="C86" s="303"/>
      <c r="D86" s="303"/>
      <c r="E86" s="303"/>
      <c r="F86" s="303"/>
      <c r="G86" s="303"/>
      <c r="H86" s="303"/>
      <c r="I86" s="295"/>
      <c r="J86" s="295"/>
      <c r="K86" s="295"/>
      <c r="L86" s="295"/>
    </row>
    <row r="87" spans="1:12" s="14" customFormat="1" ht="18.75" x14ac:dyDescent="0.3">
      <c r="A87" s="292" t="s">
        <v>56</v>
      </c>
      <c r="B87" s="304">
        <f>B84/B85</f>
        <v>1</v>
      </c>
      <c r="C87" s="282" t="s">
        <v>57</v>
      </c>
      <c r="D87" s="282"/>
      <c r="E87" s="282"/>
      <c r="F87" s="282"/>
      <c r="G87" s="282"/>
      <c r="I87" s="295"/>
      <c r="J87" s="295"/>
      <c r="K87" s="295"/>
      <c r="L87" s="295"/>
    </row>
    <row r="88" spans="1:12" ht="19.5" customHeight="1" x14ac:dyDescent="0.3">
      <c r="A88" s="290"/>
      <c r="B88" s="290"/>
    </row>
    <row r="89" spans="1:12" ht="27" customHeight="1" x14ac:dyDescent="0.4">
      <c r="A89" s="305" t="s">
        <v>58</v>
      </c>
      <c r="B89" s="306">
        <v>50</v>
      </c>
      <c r="D89" s="392" t="s">
        <v>59</v>
      </c>
      <c r="E89" s="393"/>
      <c r="F89" s="487" t="s">
        <v>60</v>
      </c>
      <c r="G89" s="489"/>
    </row>
    <row r="90" spans="1:12" ht="27" customHeight="1" x14ac:dyDescent="0.4">
      <c r="A90" s="307" t="s">
        <v>61</v>
      </c>
      <c r="B90" s="308">
        <v>5</v>
      </c>
      <c r="C90" s="394" t="s">
        <v>62</v>
      </c>
      <c r="D90" s="310" t="s">
        <v>63</v>
      </c>
      <c r="E90" s="311" t="s">
        <v>64</v>
      </c>
      <c r="F90" s="310" t="s">
        <v>63</v>
      </c>
      <c r="G90" s="395" t="s">
        <v>64</v>
      </c>
      <c r="I90" s="313" t="s">
        <v>65</v>
      </c>
    </row>
    <row r="91" spans="1:12" ht="26.25" customHeight="1" x14ac:dyDescent="0.4">
      <c r="A91" s="307" t="s">
        <v>66</v>
      </c>
      <c r="B91" s="308">
        <v>25</v>
      </c>
      <c r="C91" s="396">
        <v>1</v>
      </c>
      <c r="D91" s="315">
        <v>11214252</v>
      </c>
      <c r="E91" s="316">
        <f>IF(ISBLANK(D91),"-",$D$101/$D$98*D91)</f>
        <v>11698548.511269538</v>
      </c>
      <c r="F91" s="315">
        <v>10337907</v>
      </c>
      <c r="G91" s="317">
        <f>IF(ISBLANK(F91),"-",$D$101/$F$98*F91)</f>
        <v>11980978.374243798</v>
      </c>
      <c r="I91" s="318"/>
    </row>
    <row r="92" spans="1:12" ht="26.25" customHeight="1" x14ac:dyDescent="0.4">
      <c r="A92" s="307" t="s">
        <v>67</v>
      </c>
      <c r="B92" s="308">
        <v>1</v>
      </c>
      <c r="C92" s="380">
        <v>2</v>
      </c>
      <c r="D92" s="320">
        <v>11231266</v>
      </c>
      <c r="E92" s="321">
        <f>IF(ISBLANK(D92),"-",$D$101/$D$98*D92)</f>
        <v>11716297.274572765</v>
      </c>
      <c r="F92" s="320">
        <v>10337217</v>
      </c>
      <c r="G92" s="322">
        <f>IF(ISBLANK(F92),"-",$D$101/$F$98*F92)</f>
        <v>11980178.708017526</v>
      </c>
      <c r="I92" s="491">
        <f>ABS((F96/D96*D95)-F95)/D95</f>
        <v>2.0647943733206553E-2</v>
      </c>
    </row>
    <row r="93" spans="1:12" ht="26.25" customHeight="1" x14ac:dyDescent="0.4">
      <c r="A93" s="307" t="s">
        <v>68</v>
      </c>
      <c r="B93" s="308">
        <v>1</v>
      </c>
      <c r="C93" s="380">
        <v>3</v>
      </c>
      <c r="D93" s="320">
        <v>11233960</v>
      </c>
      <c r="E93" s="321">
        <f>IF(ISBLANK(D93),"-",$D$101/$D$98*D93)</f>
        <v>11719107.61713412</v>
      </c>
      <c r="F93" s="320">
        <v>10335971</v>
      </c>
      <c r="G93" s="322">
        <f>IF(ISBLANK(F93),"-",$D$101/$F$98*F93)</f>
        <v>11978734.673063999</v>
      </c>
      <c r="I93" s="491"/>
    </row>
    <row r="94" spans="1:12" ht="27" customHeight="1" x14ac:dyDescent="0.4">
      <c r="A94" s="307" t="s">
        <v>69</v>
      </c>
      <c r="B94" s="308">
        <v>1</v>
      </c>
      <c r="C94" s="397">
        <v>4</v>
      </c>
      <c r="D94" s="325"/>
      <c r="E94" s="326" t="str">
        <f>IF(ISBLANK(D94),"-",$D$101/$D$98*D94)</f>
        <v>-</v>
      </c>
      <c r="F94" s="398"/>
      <c r="G94" s="327" t="str">
        <f>IF(ISBLANK(F94),"-",$D$101/$F$98*F94)</f>
        <v>-</v>
      </c>
      <c r="I94" s="328"/>
    </row>
    <row r="95" spans="1:12" ht="27" customHeight="1" x14ac:dyDescent="0.4">
      <c r="A95" s="307" t="s">
        <v>70</v>
      </c>
      <c r="B95" s="308">
        <v>1</v>
      </c>
      <c r="C95" s="399" t="s">
        <v>71</v>
      </c>
      <c r="D95" s="400">
        <f>AVERAGE(D91:D94)</f>
        <v>11226492.666666666</v>
      </c>
      <c r="E95" s="331">
        <f>AVERAGE(E91:E94)</f>
        <v>11711317.800992141</v>
      </c>
      <c r="F95" s="401">
        <f>AVERAGE(F91:F94)</f>
        <v>10337031.666666666</v>
      </c>
      <c r="G95" s="402">
        <f>AVERAGE(G91:G94)</f>
        <v>11979963.918441774</v>
      </c>
    </row>
    <row r="96" spans="1:12" ht="26.25" customHeight="1" x14ac:dyDescent="0.4">
      <c r="A96" s="307" t="s">
        <v>72</v>
      </c>
      <c r="B96" s="293">
        <v>1</v>
      </c>
      <c r="C96" s="403" t="s">
        <v>113</v>
      </c>
      <c r="D96" s="404">
        <v>8.11</v>
      </c>
      <c r="E96" s="323"/>
      <c r="F96" s="335">
        <v>7.3</v>
      </c>
    </row>
    <row r="97" spans="1:10" ht="26.25" customHeight="1" x14ac:dyDescent="0.4">
      <c r="A97" s="307" t="s">
        <v>74</v>
      </c>
      <c r="B97" s="293">
        <v>1</v>
      </c>
      <c r="C97" s="405" t="s">
        <v>114</v>
      </c>
      <c r="D97" s="406">
        <f>D96*$B$87</f>
        <v>8.11</v>
      </c>
      <c r="E97" s="338"/>
      <c r="F97" s="337">
        <f>F96*$B$87</f>
        <v>7.3</v>
      </c>
    </row>
    <row r="98" spans="1:10" ht="19.5" customHeight="1" x14ac:dyDescent="0.3">
      <c r="A98" s="307" t="s">
        <v>76</v>
      </c>
      <c r="B98" s="407">
        <f>(B97/B96)*(B95/B94)*(B93/B92)*(B91/B90)*B89</f>
        <v>250</v>
      </c>
      <c r="C98" s="405" t="s">
        <v>115</v>
      </c>
      <c r="D98" s="408">
        <f>D97*$B$83/100</f>
        <v>7.9883499999999996</v>
      </c>
      <c r="E98" s="341"/>
      <c r="F98" s="340">
        <f>F97*$B$83/100</f>
        <v>7.1904999999999992</v>
      </c>
    </row>
    <row r="99" spans="1:10" ht="19.5" customHeight="1" x14ac:dyDescent="0.3">
      <c r="A99" s="492" t="s">
        <v>78</v>
      </c>
      <c r="B99" s="506"/>
      <c r="C99" s="405" t="s">
        <v>116</v>
      </c>
      <c r="D99" s="409">
        <f>D98/$B$98</f>
        <v>3.19534E-2</v>
      </c>
      <c r="E99" s="341"/>
      <c r="F99" s="344">
        <f>F98/$B$98</f>
        <v>2.8761999999999996E-2</v>
      </c>
      <c r="G99" s="410"/>
      <c r="H99" s="333"/>
    </row>
    <row r="100" spans="1:10" ht="19.5" customHeight="1" x14ac:dyDescent="0.3">
      <c r="A100" s="494"/>
      <c r="B100" s="507"/>
      <c r="C100" s="405" t="s">
        <v>80</v>
      </c>
      <c r="D100" s="411">
        <f>$B$56/$B$116</f>
        <v>3.3333333333333333E-2</v>
      </c>
      <c r="F100" s="349"/>
      <c r="G100" s="412"/>
      <c r="H100" s="333"/>
    </row>
    <row r="101" spans="1:10" ht="18.75" x14ac:dyDescent="0.3">
      <c r="C101" s="405" t="s">
        <v>81</v>
      </c>
      <c r="D101" s="406">
        <f>D100*$B$98</f>
        <v>8.3333333333333339</v>
      </c>
      <c r="F101" s="349"/>
      <c r="G101" s="410"/>
      <c r="H101" s="333"/>
    </row>
    <row r="102" spans="1:10" ht="19.5" customHeight="1" x14ac:dyDescent="0.3">
      <c r="C102" s="413" t="s">
        <v>82</v>
      </c>
      <c r="D102" s="414">
        <f>D101/B34</f>
        <v>8.3333333333333339</v>
      </c>
      <c r="F102" s="353"/>
      <c r="G102" s="410"/>
      <c r="H102" s="333"/>
      <c r="J102" s="415"/>
    </row>
    <row r="103" spans="1:10" ht="18.75" x14ac:dyDescent="0.3">
      <c r="C103" s="416" t="s">
        <v>117</v>
      </c>
      <c r="D103" s="417">
        <f>AVERAGE(E91:E94,G91:G94)</f>
        <v>11845640.859716957</v>
      </c>
      <c r="F103" s="353"/>
      <c r="G103" s="418"/>
      <c r="H103" s="333"/>
      <c r="J103" s="419"/>
    </row>
    <row r="104" spans="1:10" ht="18.75" x14ac:dyDescent="0.3">
      <c r="C104" s="383" t="s">
        <v>84</v>
      </c>
      <c r="D104" s="420">
        <f>STDEV(E91:E94,G91:G94)/D103</f>
        <v>1.2436144482098467E-2</v>
      </c>
      <c r="F104" s="353"/>
      <c r="G104" s="410"/>
      <c r="H104" s="333"/>
      <c r="J104" s="419"/>
    </row>
    <row r="105" spans="1:10" ht="19.5" customHeight="1" x14ac:dyDescent="0.3">
      <c r="C105" s="385" t="s">
        <v>20</v>
      </c>
      <c r="D105" s="421">
        <f>COUNT(E91:E94,G91:G94)</f>
        <v>6</v>
      </c>
      <c r="F105" s="353"/>
      <c r="G105" s="410"/>
      <c r="H105" s="333"/>
      <c r="J105" s="419"/>
    </row>
    <row r="106" spans="1:10" ht="19.5" customHeight="1" x14ac:dyDescent="0.3">
      <c r="A106" s="357"/>
      <c r="B106" s="357"/>
      <c r="C106" s="357"/>
      <c r="D106" s="357"/>
      <c r="E106" s="357"/>
    </row>
    <row r="107" spans="1:10" ht="26.25" customHeight="1" x14ac:dyDescent="0.4">
      <c r="A107" s="305" t="s">
        <v>118</v>
      </c>
      <c r="B107" s="306">
        <v>900</v>
      </c>
      <c r="C107" s="422" t="s">
        <v>119</v>
      </c>
      <c r="D107" s="423" t="s">
        <v>63</v>
      </c>
      <c r="E107" s="424" t="s">
        <v>120</v>
      </c>
      <c r="F107" s="425" t="s">
        <v>121</v>
      </c>
    </row>
    <row r="108" spans="1:10" ht="26.25" customHeight="1" x14ac:dyDescent="0.4">
      <c r="A108" s="307" t="s">
        <v>122</v>
      </c>
      <c r="B108" s="308">
        <v>1</v>
      </c>
      <c r="C108" s="426">
        <v>1</v>
      </c>
      <c r="D108" s="427">
        <v>10430677</v>
      </c>
      <c r="E108" s="458">
        <f t="shared" ref="E108:E113" si="1">IF(ISBLANK(D108),"-",D108/$D$103*$D$100*$B$116)</f>
        <v>26.416494785363344</v>
      </c>
      <c r="F108" s="428">
        <f t="shared" ref="F108:F113" si="2">IF(ISBLANK(D108), "-", E108/$B$56)</f>
        <v>0.88054982617877819</v>
      </c>
    </row>
    <row r="109" spans="1:10" ht="26.25" customHeight="1" x14ac:dyDescent="0.4">
      <c r="A109" s="307" t="s">
        <v>95</v>
      </c>
      <c r="B109" s="308">
        <v>1</v>
      </c>
      <c r="C109" s="426">
        <v>2</v>
      </c>
      <c r="D109" s="427">
        <v>9998900</v>
      </c>
      <c r="E109" s="459">
        <f t="shared" si="1"/>
        <v>25.322986198246728</v>
      </c>
      <c r="F109" s="429">
        <f t="shared" si="2"/>
        <v>0.84409953994155762</v>
      </c>
    </row>
    <row r="110" spans="1:10" ht="26.25" customHeight="1" x14ac:dyDescent="0.4">
      <c r="A110" s="307" t="s">
        <v>96</v>
      </c>
      <c r="B110" s="308">
        <v>1</v>
      </c>
      <c r="C110" s="426">
        <v>3</v>
      </c>
      <c r="D110" s="427">
        <v>11399277</v>
      </c>
      <c r="E110" s="459">
        <f t="shared" si="1"/>
        <v>28.86954906449623</v>
      </c>
      <c r="F110" s="429">
        <f t="shared" si="2"/>
        <v>0.96231830214987435</v>
      </c>
    </row>
    <row r="111" spans="1:10" ht="26.25" customHeight="1" x14ac:dyDescent="0.4">
      <c r="A111" s="307" t="s">
        <v>97</v>
      </c>
      <c r="B111" s="308">
        <v>1</v>
      </c>
      <c r="C111" s="426">
        <v>4</v>
      </c>
      <c r="D111" s="427">
        <v>11399207</v>
      </c>
      <c r="E111" s="459">
        <f t="shared" si="1"/>
        <v>28.869371784091996</v>
      </c>
      <c r="F111" s="429">
        <f t="shared" si="2"/>
        <v>0.96231239280306657</v>
      </c>
    </row>
    <row r="112" spans="1:10" ht="26.25" customHeight="1" x14ac:dyDescent="0.4">
      <c r="A112" s="307" t="s">
        <v>98</v>
      </c>
      <c r="B112" s="308">
        <v>1</v>
      </c>
      <c r="C112" s="426">
        <v>5</v>
      </c>
      <c r="D112" s="427">
        <v>10414313</v>
      </c>
      <c r="E112" s="459">
        <f t="shared" si="1"/>
        <v>26.375051692008267</v>
      </c>
      <c r="F112" s="429">
        <f t="shared" si="2"/>
        <v>0.87916838973360889</v>
      </c>
    </row>
    <row r="113" spans="1:10" ht="26.25" customHeight="1" x14ac:dyDescent="0.4">
      <c r="A113" s="307" t="s">
        <v>100</v>
      </c>
      <c r="B113" s="308">
        <v>1</v>
      </c>
      <c r="C113" s="430">
        <v>6</v>
      </c>
      <c r="D113" s="431">
        <v>10015171</v>
      </c>
      <c r="E113" s="460">
        <f t="shared" si="1"/>
        <v>25.3641937619219</v>
      </c>
      <c r="F113" s="432">
        <f t="shared" si="2"/>
        <v>0.84547312539739672</v>
      </c>
    </row>
    <row r="114" spans="1:10" ht="26.25" customHeight="1" x14ac:dyDescent="0.4">
      <c r="A114" s="307" t="s">
        <v>101</v>
      </c>
      <c r="B114" s="308">
        <v>1</v>
      </c>
      <c r="C114" s="426"/>
      <c r="D114" s="380"/>
      <c r="E114" s="281"/>
      <c r="F114" s="433"/>
    </row>
    <row r="115" spans="1:10" ht="26.25" customHeight="1" x14ac:dyDescent="0.4">
      <c r="A115" s="307" t="s">
        <v>102</v>
      </c>
      <c r="B115" s="308">
        <v>1</v>
      </c>
      <c r="C115" s="426"/>
      <c r="D115" s="434" t="s">
        <v>71</v>
      </c>
      <c r="E115" s="462">
        <f>AVERAGE(E108:E113)</f>
        <v>26.869607881021413</v>
      </c>
      <c r="F115" s="435">
        <f>AVERAGE(F108:F113)</f>
        <v>0.89565359603404693</v>
      </c>
    </row>
    <row r="116" spans="1:10" ht="27" customHeight="1" x14ac:dyDescent="0.4">
      <c r="A116" s="307" t="s">
        <v>103</v>
      </c>
      <c r="B116" s="339">
        <f>(B115/B114)*(B113/B112)*(B111/B110)*(B109/B108)*B107</f>
        <v>900</v>
      </c>
      <c r="C116" s="436"/>
      <c r="D116" s="399" t="s">
        <v>84</v>
      </c>
      <c r="E116" s="437">
        <f>STDEV(E108:E113)/E115</f>
        <v>6.025676095714811E-2</v>
      </c>
      <c r="F116" s="437">
        <f>STDEV(F108:F113)/F115</f>
        <v>6.025676095714811E-2</v>
      </c>
      <c r="I116" s="281"/>
    </row>
    <row r="117" spans="1:10" ht="27" customHeight="1" x14ac:dyDescent="0.4">
      <c r="A117" s="492" t="s">
        <v>78</v>
      </c>
      <c r="B117" s="493"/>
      <c r="C117" s="438"/>
      <c r="D117" s="439" t="s">
        <v>20</v>
      </c>
      <c r="E117" s="440">
        <f>COUNT(E108:E113)</f>
        <v>6</v>
      </c>
      <c r="F117" s="440">
        <f>COUNT(F108:F113)</f>
        <v>6</v>
      </c>
      <c r="I117" s="281"/>
      <c r="J117" s="419"/>
    </row>
    <row r="118" spans="1:10" ht="19.5" customHeight="1" x14ac:dyDescent="0.3">
      <c r="A118" s="494"/>
      <c r="B118" s="495"/>
      <c r="C118" s="281"/>
      <c r="D118" s="281"/>
      <c r="E118" s="281"/>
      <c r="F118" s="380"/>
      <c r="G118" s="281"/>
      <c r="H118" s="281"/>
      <c r="I118" s="281"/>
    </row>
    <row r="119" spans="1:10" ht="18.75" x14ac:dyDescent="0.3">
      <c r="A119" s="449"/>
      <c r="B119" s="303"/>
      <c r="C119" s="281"/>
      <c r="D119" s="281"/>
      <c r="E119" s="281"/>
      <c r="F119" s="380"/>
      <c r="G119" s="281"/>
      <c r="H119" s="281"/>
      <c r="I119" s="281"/>
    </row>
    <row r="120" spans="1:10" ht="26.25" customHeight="1" x14ac:dyDescent="0.4">
      <c r="A120" s="291" t="s">
        <v>106</v>
      </c>
      <c r="B120" s="387" t="s">
        <v>123</v>
      </c>
      <c r="C120" s="504" t="str">
        <f>B20</f>
        <v>Isoniazid</v>
      </c>
      <c r="D120" s="504"/>
      <c r="E120" s="388" t="s">
        <v>124</v>
      </c>
      <c r="F120" s="388"/>
      <c r="G120" s="389">
        <f>F115</f>
        <v>0.89565359603404693</v>
      </c>
      <c r="H120" s="281"/>
      <c r="I120" s="281"/>
    </row>
    <row r="121" spans="1:10" ht="19.5" customHeight="1" x14ac:dyDescent="0.3">
      <c r="A121" s="441"/>
      <c r="B121" s="441"/>
      <c r="C121" s="442"/>
      <c r="D121" s="442"/>
      <c r="E121" s="442"/>
      <c r="F121" s="442"/>
      <c r="G121" s="442"/>
      <c r="H121" s="442"/>
    </row>
    <row r="122" spans="1:10" ht="18.75" x14ac:dyDescent="0.3">
      <c r="B122" s="505" t="s">
        <v>26</v>
      </c>
      <c r="C122" s="505"/>
      <c r="E122" s="394" t="s">
        <v>27</v>
      </c>
      <c r="F122" s="443"/>
      <c r="G122" s="505" t="s">
        <v>28</v>
      </c>
      <c r="H122" s="505"/>
    </row>
    <row r="123" spans="1:10" ht="69.95" customHeight="1" x14ac:dyDescent="0.3">
      <c r="A123" s="444" t="s">
        <v>29</v>
      </c>
      <c r="B123" s="445"/>
      <c r="C123" s="445"/>
      <c r="E123" s="445"/>
      <c r="F123" s="281"/>
      <c r="G123" s="446"/>
      <c r="H123" s="446"/>
    </row>
    <row r="124" spans="1:10" ht="69.95" customHeight="1" x14ac:dyDescent="0.3">
      <c r="A124" s="444" t="s">
        <v>30</v>
      </c>
      <c r="B124" s="447"/>
      <c r="C124" s="447"/>
      <c r="E124" s="447"/>
      <c r="F124" s="281"/>
      <c r="G124" s="448"/>
      <c r="H124" s="448"/>
    </row>
    <row r="125" spans="1:10" ht="18.75" x14ac:dyDescent="0.3">
      <c r="A125" s="379"/>
      <c r="B125" s="379"/>
      <c r="C125" s="380"/>
      <c r="D125" s="380"/>
      <c r="E125" s="380"/>
      <c r="F125" s="384"/>
      <c r="G125" s="380"/>
      <c r="H125" s="380"/>
      <c r="I125" s="281"/>
    </row>
    <row r="126" spans="1:10" ht="18.75" x14ac:dyDescent="0.3">
      <c r="A126" s="379"/>
      <c r="B126" s="379"/>
      <c r="C126" s="380"/>
      <c r="D126" s="380"/>
      <c r="E126" s="380"/>
      <c r="F126" s="384"/>
      <c r="G126" s="380"/>
      <c r="H126" s="380"/>
      <c r="I126" s="281"/>
    </row>
    <row r="127" spans="1:10" ht="18.75" x14ac:dyDescent="0.3">
      <c r="A127" s="379"/>
      <c r="B127" s="379"/>
      <c r="C127" s="380"/>
      <c r="D127" s="380"/>
      <c r="E127" s="380"/>
      <c r="F127" s="384"/>
      <c r="G127" s="380"/>
      <c r="H127" s="380"/>
      <c r="I127" s="281"/>
    </row>
    <row r="128" spans="1:10" ht="18.75" x14ac:dyDescent="0.3">
      <c r="A128" s="379"/>
      <c r="B128" s="379"/>
      <c r="C128" s="380"/>
      <c r="D128" s="380"/>
      <c r="E128" s="380"/>
      <c r="F128" s="384"/>
      <c r="G128" s="380"/>
      <c r="H128" s="380"/>
      <c r="I128" s="281"/>
    </row>
    <row r="129" spans="1:9" ht="18.75" x14ac:dyDescent="0.3">
      <c r="A129" s="379"/>
      <c r="B129" s="379"/>
      <c r="C129" s="380"/>
      <c r="D129" s="380"/>
      <c r="E129" s="380"/>
      <c r="F129" s="384"/>
      <c r="G129" s="380"/>
      <c r="H129" s="380"/>
      <c r="I129" s="281"/>
    </row>
    <row r="130" spans="1:9" ht="18.75" x14ac:dyDescent="0.3">
      <c r="A130" s="379"/>
      <c r="B130" s="379"/>
      <c r="C130" s="380"/>
      <c r="D130" s="380"/>
      <c r="E130" s="380"/>
      <c r="F130" s="384"/>
      <c r="G130" s="380"/>
      <c r="H130" s="380"/>
      <c r="I130" s="281"/>
    </row>
    <row r="131" spans="1:9" ht="18.75" x14ac:dyDescent="0.3">
      <c r="A131" s="379"/>
      <c r="B131" s="379"/>
      <c r="C131" s="380"/>
      <c r="D131" s="380"/>
      <c r="E131" s="380"/>
      <c r="F131" s="384"/>
      <c r="G131" s="380"/>
      <c r="H131" s="380"/>
      <c r="I131" s="281"/>
    </row>
    <row r="132" spans="1:9" ht="18.75" x14ac:dyDescent="0.3">
      <c r="A132" s="379"/>
      <c r="B132" s="379"/>
      <c r="C132" s="380"/>
      <c r="D132" s="380"/>
      <c r="E132" s="380"/>
      <c r="F132" s="384"/>
      <c r="G132" s="380"/>
      <c r="H132" s="380"/>
      <c r="I132" s="281"/>
    </row>
    <row r="133" spans="1:9" ht="18.75" x14ac:dyDescent="0.3">
      <c r="A133" s="379"/>
      <c r="B133" s="379"/>
      <c r="C133" s="380"/>
      <c r="D133" s="380"/>
      <c r="E133" s="380"/>
      <c r="F133" s="384"/>
      <c r="G133" s="380"/>
      <c r="H133" s="380"/>
      <c r="I133" s="281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SST Rifampicin</vt:lpstr>
      <vt:lpstr>Uniformity</vt:lpstr>
      <vt:lpstr>RIFAMPICIN</vt:lpstr>
      <vt:lpstr>SST Isoniazid</vt:lpstr>
      <vt:lpstr>ISONIAZID</vt:lpstr>
      <vt:lpstr>ISONIAZID!Print_Area</vt:lpstr>
      <vt:lpstr>RIFAMPICIN!Print_Area</vt:lpstr>
      <vt:lpstr>'SST Isoniazid'!Print_Area</vt:lpstr>
      <vt:lpstr>'SST Rifampicin'!Print_Area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Joy</cp:lastModifiedBy>
  <cp:lastPrinted>2016-06-14T11:16:35Z</cp:lastPrinted>
  <dcterms:created xsi:type="dcterms:W3CDTF">2005-07-05T10:19:27Z</dcterms:created>
  <dcterms:modified xsi:type="dcterms:W3CDTF">2016-06-14T11:39:11Z</dcterms:modified>
</cp:coreProperties>
</file>