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4"/>
  </bookViews>
  <sheets>
    <sheet name="SST Rifampicin" sheetId="1" r:id="rId1"/>
    <sheet name="Uniformity" sheetId="2" r:id="rId2"/>
    <sheet name="RIFAMPICIN" sheetId="3" r:id="rId3"/>
    <sheet name="SST Isoniaid" sheetId="5" r:id="rId4"/>
    <sheet name="ISONIAZID" sheetId="4" r:id="rId5"/>
  </sheets>
  <definedNames>
    <definedName name="_xlnm.Print_Area" localSheetId="4">ISONIAZID!$A$1:$I$125</definedName>
    <definedName name="_xlnm.Print_Area" localSheetId="2">RIFAMPICIN!$A$1:$I$124</definedName>
    <definedName name="_xlnm.Print_Area" localSheetId="3">'SST Isoniaid'!$A$15:$G$61</definedName>
    <definedName name="_xlnm.Print_Area" localSheetId="0">'SST Rifampicin'!$A$15:$G$61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5" l="1"/>
  <c r="B42" i="5"/>
  <c r="B42" i="1"/>
  <c r="B21" i="1" l="1"/>
  <c r="B53" i="5" l="1"/>
  <c r="E51" i="5"/>
  <c r="D51" i="5"/>
  <c r="C51" i="5"/>
  <c r="B51" i="5"/>
  <c r="B52" i="5" s="1"/>
  <c r="B32" i="5"/>
  <c r="B31" i="5"/>
  <c r="C120" i="4" l="1"/>
  <c r="B116" i="4"/>
  <c r="D100" i="4" s="1"/>
  <c r="B98" i="4"/>
  <c r="F95" i="4"/>
  <c r="D95" i="4"/>
  <c r="B87" i="4"/>
  <c r="F97" i="4" s="1"/>
  <c r="B83" i="4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C120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C46" i="2"/>
  <c r="D50" i="2" s="1"/>
  <c r="C45" i="2"/>
  <c r="D37" i="2"/>
  <c r="D33" i="2"/>
  <c r="C19" i="2"/>
  <c r="B53" i="1"/>
  <c r="E51" i="1"/>
  <c r="D51" i="1"/>
  <c r="C51" i="1"/>
  <c r="B51" i="1"/>
  <c r="B52" i="1" s="1"/>
  <c r="B32" i="1"/>
  <c r="B31" i="1"/>
  <c r="D25" i="2" l="1"/>
  <c r="D41" i="2"/>
  <c r="D29" i="2"/>
  <c r="I92" i="4"/>
  <c r="D49" i="4"/>
  <c r="F44" i="4"/>
  <c r="F45" i="4" s="1"/>
  <c r="G41" i="4" s="1"/>
  <c r="D45" i="4"/>
  <c r="E38" i="4" s="1"/>
  <c r="D101" i="4"/>
  <c r="D102" i="4" s="1"/>
  <c r="I92" i="3"/>
  <c r="F99" i="3"/>
  <c r="D101" i="3"/>
  <c r="G93" i="3" s="1"/>
  <c r="D49" i="3"/>
  <c r="F44" i="3"/>
  <c r="F45" i="3" s="1"/>
  <c r="D45" i="3"/>
  <c r="D46" i="3" s="1"/>
  <c r="F98" i="4"/>
  <c r="F99" i="4" s="1"/>
  <c r="D27" i="2"/>
  <c r="D31" i="2"/>
  <c r="D35" i="2"/>
  <c r="D39" i="2"/>
  <c r="D43" i="2"/>
  <c r="C49" i="2"/>
  <c r="D24" i="2"/>
  <c r="D28" i="2"/>
  <c r="D32" i="2"/>
  <c r="D36" i="2"/>
  <c r="D40" i="2"/>
  <c r="D49" i="2"/>
  <c r="B57" i="3"/>
  <c r="B69" i="3" s="1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E38" i="3" l="1"/>
  <c r="E40" i="4"/>
  <c r="E41" i="4"/>
  <c r="G38" i="4"/>
  <c r="G39" i="4"/>
  <c r="G40" i="4"/>
  <c r="F46" i="4"/>
  <c r="E39" i="4"/>
  <c r="D46" i="4"/>
  <c r="G94" i="4"/>
  <c r="G93" i="4"/>
  <c r="D102" i="3"/>
  <c r="E94" i="3"/>
  <c r="G91" i="3"/>
  <c r="G94" i="3"/>
  <c r="G92" i="3"/>
  <c r="G38" i="3"/>
  <c r="G40" i="3"/>
  <c r="G39" i="3"/>
  <c r="G41" i="3"/>
  <c r="F46" i="3"/>
  <c r="E41" i="3"/>
  <c r="E39" i="3"/>
  <c r="E40" i="3"/>
  <c r="E93" i="3"/>
  <c r="E94" i="4"/>
  <c r="E93" i="4"/>
  <c r="E91" i="3"/>
  <c r="E92" i="3"/>
  <c r="E91" i="4"/>
  <c r="E92" i="4"/>
  <c r="G92" i="4"/>
  <c r="G91" i="4"/>
  <c r="G95" i="4" l="1"/>
  <c r="D52" i="4"/>
  <c r="G42" i="4"/>
  <c r="E42" i="4"/>
  <c r="D50" i="4"/>
  <c r="G68" i="4" s="1"/>
  <c r="H68" i="4" s="1"/>
  <c r="G95" i="3"/>
  <c r="D52" i="3"/>
  <c r="G42" i="3"/>
  <c r="D50" i="3"/>
  <c r="G68" i="3" s="1"/>
  <c r="H68" i="3" s="1"/>
  <c r="E42" i="3"/>
  <c r="E95" i="3"/>
  <c r="D105" i="3"/>
  <c r="D103" i="3"/>
  <c r="G71" i="4"/>
  <c r="H71" i="4" s="1"/>
  <c r="G67" i="4"/>
  <c r="H67" i="4" s="1"/>
  <c r="G63" i="4"/>
  <c r="H63" i="4" s="1"/>
  <c r="E95" i="4"/>
  <c r="D105" i="4"/>
  <c r="D103" i="4"/>
  <c r="D51" i="4" l="1"/>
  <c r="G69" i="4"/>
  <c r="H69" i="4" s="1"/>
  <c r="G66" i="4"/>
  <c r="H66" i="4" s="1"/>
  <c r="G65" i="4"/>
  <c r="H65" i="4" s="1"/>
  <c r="G60" i="4"/>
  <c r="H60" i="4" s="1"/>
  <c r="G62" i="4"/>
  <c r="H62" i="4" s="1"/>
  <c r="G61" i="4"/>
  <c r="H61" i="4" s="1"/>
  <c r="G70" i="4"/>
  <c r="H70" i="4" s="1"/>
  <c r="G64" i="4"/>
  <c r="H64" i="4" s="1"/>
  <c r="G66" i="3"/>
  <c r="H66" i="3" s="1"/>
  <c r="G63" i="3"/>
  <c r="H63" i="3" s="1"/>
  <c r="G65" i="3"/>
  <c r="H65" i="3" s="1"/>
  <c r="D51" i="3"/>
  <c r="G60" i="3"/>
  <c r="H60" i="3" s="1"/>
  <c r="G69" i="3"/>
  <c r="H69" i="3" s="1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G72" i="4"/>
  <c r="G73" i="4" s="1"/>
  <c r="G72" i="3"/>
  <c r="G73" i="3" s="1"/>
  <c r="G74" i="3"/>
  <c r="H74" i="3"/>
  <c r="H72" i="3"/>
  <c r="E115" i="3"/>
  <c r="E116" i="3" s="1"/>
  <c r="E117" i="3"/>
  <c r="F108" i="3"/>
  <c r="H74" i="4"/>
  <c r="H72" i="4"/>
  <c r="E115" i="4"/>
  <c r="E116" i="4" s="1"/>
  <c r="E117" i="4"/>
  <c r="F108" i="4"/>
  <c r="G76" i="4" l="1"/>
  <c r="H73" i="4"/>
  <c r="F117" i="4"/>
  <c r="F115" i="4"/>
  <c r="G76" i="3"/>
  <c r="H73" i="3"/>
  <c r="F117" i="3"/>
  <c r="F115" i="3"/>
  <c r="G120" i="4" l="1"/>
  <c r="F116" i="4"/>
  <c r="G120" i="3"/>
  <c r="F116" i="3"/>
</calcChain>
</file>

<file path=xl/sharedStrings.xml><?xml version="1.0" encoding="utf-8"?>
<sst xmlns="http://schemas.openxmlformats.org/spreadsheetml/2006/main" count="442" uniqueCount="131">
  <si>
    <t>HPLC System Suitability Report</t>
  </si>
  <si>
    <t>Analysis Data</t>
  </si>
  <si>
    <t>Assay</t>
  </si>
  <si>
    <t>Sample(s)</t>
  </si>
  <si>
    <t>Reference Substance:</t>
  </si>
  <si>
    <t>RIFAMPICIN 60MG, ISONIAZID 30MG TABLETS</t>
  </si>
  <si>
    <t>% age Purity:</t>
  </si>
  <si>
    <t>NDQD2016061110</t>
  </si>
  <si>
    <t>Weight (mg):</t>
  </si>
  <si>
    <t>Rifampicin, Isoniazid</t>
  </si>
  <si>
    <t>Standard Conc (mg/mL):</t>
  </si>
  <si>
    <t>Each Tablet contains: Rifampicin 60mg, Isoniazid 30mg</t>
  </si>
  <si>
    <t>2016-06-10 07:11:27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</si>
  <si>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</si>
  <si>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</si>
  <si>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</si>
  <si>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</si>
  <si>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</si>
  <si>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</si>
  <si>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</si>
  <si>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</si>
  <si>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</si>
  <si>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</si>
  <si>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</si>
  <si>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</si>
  <si>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</si>
  <si>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</si>
  <si>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</si>
  <si>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</si>
  <si>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</si>
  <si>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</si>
  <si>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</si>
  <si>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</si>
  <si>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</si>
  <si>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</si>
  <si>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</si>
  <si>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</si>
  <si>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</si>
  <si>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</si>
  <si>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</si>
  <si>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</si>
  <si>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</si>
  <si>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</si>
  <si>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</si>
  <si>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</si>
  <si>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</si>
  <si>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</si>
  <si>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</si>
  <si>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</si>
  <si>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</si>
  <si>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</si>
  <si>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</si>
  <si>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</si>
  <si>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</si>
  <si>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</si>
  <si>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</si>
  <si>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</si>
  <si>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</si>
  <si>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</si>
  <si>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</si>
  <si>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</si>
  <si>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</si>
  <si>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</si>
  <si>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</si>
  <si>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</si>
  <si>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</si>
  <si>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</si>
  <si>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</si>
  <si>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</si>
  <si>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</si>
  <si>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</si>
  <si>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</si>
  <si>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</si>
  <si>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</si>
  <si>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</si>
  <si>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</si>
  <si>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</si>
  <si>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</si>
  <si>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</si>
  <si>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</si>
  <si>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</si>
  <si>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</si>
  <si>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</si>
  <si>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</si>
  <si>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</si>
  <si>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</si>
  <si>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</si>
  <si>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</si>
  <si>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</si>
  <si>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</si>
  <si>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</si>
  <si>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</si>
  <si>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</si>
  <si>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</si>
  <si>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</si>
  <si>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</si>
  <si>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</si>
  <si>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</si>
  <si>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</si>
  <si>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</si>
  <si>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</si>
  <si>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</si>
  <si>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</si>
  <si>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</si>
  <si>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</si>
  <si>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</si>
  <si>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</si>
  <si>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</si>
  <si>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</si>
  <si>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</si>
  <si>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</si>
  <si>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</si>
  <si>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</si>
  <si>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</si>
  <si>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</si>
  <si>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</si>
  <si>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</si>
  <si>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</si>
  <si>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</si>
  <si>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</si>
  <si>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</si>
  <si>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</si>
  <si>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</si>
  <si>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</si>
  <si>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</si>
  <si>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</si>
  <si>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RUTTO/JOYFRIDA</t>
  </si>
  <si>
    <t>Isoniazid</t>
  </si>
  <si>
    <t>R5-1</t>
  </si>
  <si>
    <t>I8-2</t>
  </si>
  <si>
    <t>17/06/2016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</si>
</sst>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B21" sqref="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14.51</v>
      </c>
      <c r="C20" s="10"/>
      <c r="D20" s="10"/>
      <c r="E20" s="10"/>
    </row>
    <row r="21" spans="1:6" ht="16.5" customHeight="1" x14ac:dyDescent="0.3">
      <c r="A21" s="7" t="s">
        <v>10</v>
      </c>
      <c r="B21" s="13">
        <f>14.51/50*5/25</f>
        <v>5.8040000000000001E-2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18163592</v>
      </c>
      <c r="C24" s="18">
        <v>63960.4</v>
      </c>
      <c r="D24" s="19">
        <v>0.9</v>
      </c>
      <c r="E24" s="20">
        <v>7</v>
      </c>
    </row>
    <row r="25" spans="1:6" ht="16.5" customHeight="1" x14ac:dyDescent="0.3">
      <c r="A25" s="17">
        <v>2</v>
      </c>
      <c r="B25" s="18">
        <v>18233078</v>
      </c>
      <c r="C25" s="18">
        <v>64168</v>
      </c>
      <c r="D25" s="19">
        <v>0.9</v>
      </c>
      <c r="E25" s="19">
        <v>7.7</v>
      </c>
    </row>
    <row r="26" spans="1:6" ht="16.5" customHeight="1" x14ac:dyDescent="0.3">
      <c r="A26" s="17">
        <v>3</v>
      </c>
      <c r="B26" s="18">
        <v>18243294</v>
      </c>
      <c r="C26" s="18">
        <v>63956.7</v>
      </c>
      <c r="D26" s="19">
        <v>0.9</v>
      </c>
      <c r="E26" s="19">
        <v>7.7</v>
      </c>
    </row>
    <row r="27" spans="1:6" ht="16.5" customHeight="1" x14ac:dyDescent="0.3">
      <c r="A27" s="17">
        <v>4</v>
      </c>
      <c r="B27" s="18">
        <v>18248345</v>
      </c>
      <c r="C27" s="18">
        <v>63663.3</v>
      </c>
      <c r="D27" s="19">
        <v>1</v>
      </c>
      <c r="E27" s="19">
        <v>7.7</v>
      </c>
    </row>
    <row r="28" spans="1:6" ht="16.5" customHeight="1" x14ac:dyDescent="0.3">
      <c r="A28" s="17">
        <v>5</v>
      </c>
      <c r="B28" s="18">
        <v>18234425</v>
      </c>
      <c r="C28" s="18">
        <v>63950.400000000001</v>
      </c>
      <c r="D28" s="19">
        <v>1</v>
      </c>
      <c r="E28" s="19">
        <v>7.7</v>
      </c>
    </row>
    <row r="29" spans="1:6" ht="16.5" customHeight="1" x14ac:dyDescent="0.3">
      <c r="A29" s="17">
        <v>6</v>
      </c>
      <c r="B29" s="21">
        <v>18239906</v>
      </c>
      <c r="C29" s="21">
        <v>63667.9</v>
      </c>
      <c r="D29" s="22">
        <v>1</v>
      </c>
      <c r="E29" s="22">
        <v>7.7</v>
      </c>
    </row>
    <row r="30" spans="1:6" ht="16.5" customHeight="1" x14ac:dyDescent="0.3">
      <c r="A30" s="23" t="s">
        <v>18</v>
      </c>
      <c r="B30" s="24">
        <v>18227106.666666668</v>
      </c>
      <c r="C30" s="25">
        <v>63894.450000000004</v>
      </c>
      <c r="D30" s="26">
        <v>0.95000000000000007</v>
      </c>
      <c r="E30" s="26">
        <v>7.583333333333333</v>
      </c>
    </row>
    <row r="31" spans="1:6" ht="16.5" customHeight="1" x14ac:dyDescent="0.3">
      <c r="A31" s="27" t="s">
        <v>19</v>
      </c>
      <c r="B31" s="28">
        <f>(STDEV(B24:B29)/B30)</f>
        <v>1.7349741182692898E-3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15.13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15.13/100</f>
        <v>0.15130000000000002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47114377</v>
      </c>
      <c r="C45" s="18">
        <v>73369.66</v>
      </c>
      <c r="D45" s="19">
        <v>0.99</v>
      </c>
      <c r="E45" s="20">
        <v>7.42</v>
      </c>
    </row>
    <row r="46" spans="1:6" ht="16.5" customHeight="1" x14ac:dyDescent="0.3">
      <c r="A46" s="17">
        <v>2</v>
      </c>
      <c r="B46" s="18">
        <v>47107014</v>
      </c>
      <c r="C46" s="18">
        <v>73824</v>
      </c>
      <c r="D46" s="19">
        <v>0.99</v>
      </c>
      <c r="E46" s="19">
        <v>7.42</v>
      </c>
    </row>
    <row r="47" spans="1:6" ht="16.5" customHeight="1" x14ac:dyDescent="0.3">
      <c r="A47" s="17">
        <v>3</v>
      </c>
      <c r="B47" s="18">
        <v>47140956</v>
      </c>
      <c r="C47" s="18">
        <v>73547.06</v>
      </c>
      <c r="D47" s="19">
        <v>1.01</v>
      </c>
      <c r="E47" s="19">
        <v>7.42</v>
      </c>
    </row>
    <row r="48" spans="1:6" ht="16.5" customHeight="1" x14ac:dyDescent="0.3">
      <c r="A48" s="17">
        <v>4</v>
      </c>
      <c r="B48" s="18">
        <v>47060782</v>
      </c>
      <c r="C48" s="18">
        <v>73867.710000000006</v>
      </c>
      <c r="D48" s="19">
        <v>1.03</v>
      </c>
      <c r="E48" s="19">
        <v>7.42</v>
      </c>
    </row>
    <row r="49" spans="1:7" ht="16.5" customHeight="1" x14ac:dyDescent="0.3">
      <c r="A49" s="17">
        <v>5</v>
      </c>
      <c r="B49" s="18">
        <v>47067596</v>
      </c>
      <c r="C49" s="18">
        <v>73690.820000000007</v>
      </c>
      <c r="D49" s="19">
        <v>1</v>
      </c>
      <c r="E49" s="19">
        <v>7.42</v>
      </c>
    </row>
    <row r="50" spans="1:7" ht="16.5" customHeight="1" x14ac:dyDescent="0.3">
      <c r="A50" s="17">
        <v>6</v>
      </c>
      <c r="B50" s="21">
        <v>47266188</v>
      </c>
      <c r="C50" s="21">
        <v>74012.02</v>
      </c>
      <c r="D50" s="22">
        <v>1.05</v>
      </c>
      <c r="E50" s="22">
        <v>7.42</v>
      </c>
    </row>
    <row r="51" spans="1:7" ht="16.5" customHeight="1" x14ac:dyDescent="0.3">
      <c r="A51" s="23" t="s">
        <v>18</v>
      </c>
      <c r="B51" s="24">
        <f>AVERAGE(B45:B50)</f>
        <v>47126152.166666664</v>
      </c>
      <c r="C51" s="25">
        <f>AVERAGE(C45:C50)</f>
        <v>73718.544999999998</v>
      </c>
      <c r="D51" s="26">
        <f>AVERAGE(D45:D50)</f>
        <v>1.0116666666666667</v>
      </c>
      <c r="E51" s="26">
        <f>AVERAGE(E45:E50)</f>
        <v>7.4200000000000008</v>
      </c>
    </row>
    <row r="52" spans="1:7" ht="16.5" customHeight="1" x14ac:dyDescent="0.3">
      <c r="A52" s="27" t="s">
        <v>19</v>
      </c>
      <c r="B52" s="28">
        <f>(STDEV(B45:B50)/B51)</f>
        <v>1.5889585046052238E-3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26</v>
      </c>
      <c r="C59" s="46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126</v>
      </c>
      <c r="C60" s="48"/>
      <c r="E60" s="48" t="s">
        <v>130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2" workbookViewId="0">
      <selection activeCell="C26" sqref="C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31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33</v>
      </c>
      <c r="B14" s="474"/>
      <c r="C14" s="60" t="s">
        <v>5</v>
      </c>
    </row>
    <row r="15" spans="1:7" ht="16.5" customHeight="1" x14ac:dyDescent="0.3">
      <c r="A15" s="474" t="s">
        <v>34</v>
      </c>
      <c r="B15" s="474"/>
      <c r="C15" s="60" t="s">
        <v>7</v>
      </c>
    </row>
    <row r="16" spans="1:7" ht="16.5" customHeight="1" x14ac:dyDescent="0.3">
      <c r="A16" s="474" t="s">
        <v>35</v>
      </c>
      <c r="B16" s="474"/>
      <c r="C16" s="60" t="s">
        <v>9</v>
      </c>
    </row>
    <row r="17" spans="1:5" ht="16.5" customHeight="1" x14ac:dyDescent="0.3">
      <c r="A17" s="474" t="s">
        <v>36</v>
      </c>
      <c r="B17" s="474"/>
      <c r="C17" s="60" t="s">
        <v>11</v>
      </c>
    </row>
    <row r="18" spans="1:5" ht="16.5" customHeight="1" x14ac:dyDescent="0.3">
      <c r="A18" s="474" t="s">
        <v>37</v>
      </c>
      <c r="B18" s="474"/>
      <c r="C18" s="97" t="s">
        <v>12</v>
      </c>
    </row>
    <row r="19" spans="1:5" ht="16.5" customHeight="1" x14ac:dyDescent="0.3">
      <c r="A19" s="474" t="s">
        <v>38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39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233.18</v>
      </c>
      <c r="D24" s="87">
        <f t="shared" ref="D24:D43" si="0">(C24-$C$46)/$C$46</f>
        <v>-2.4598404312207952E-3</v>
      </c>
      <c r="E24" s="53"/>
    </row>
    <row r="25" spans="1:5" ht="15.75" customHeight="1" x14ac:dyDescent="0.3">
      <c r="C25" s="95">
        <v>232.45</v>
      </c>
      <c r="D25" s="88">
        <f t="shared" si="0"/>
        <v>-5.5827682830315289E-3</v>
      </c>
      <c r="E25" s="53"/>
    </row>
    <row r="26" spans="1:5" ht="15.75" customHeight="1" x14ac:dyDescent="0.3">
      <c r="C26" s="95">
        <v>235.91</v>
      </c>
      <c r="D26" s="88">
        <f t="shared" si="0"/>
        <v>9.2190541378792852E-3</v>
      </c>
      <c r="E26" s="53"/>
    </row>
    <row r="27" spans="1:5" ht="15.75" customHeight="1" x14ac:dyDescent="0.3">
      <c r="C27" s="95">
        <v>234.18</v>
      </c>
      <c r="D27" s="88">
        <f t="shared" si="0"/>
        <v>1.8181429274239391E-3</v>
      </c>
      <c r="E27" s="53"/>
    </row>
    <row r="28" spans="1:5" ht="15.75" customHeight="1" x14ac:dyDescent="0.3">
      <c r="C28" s="95">
        <v>233.99</v>
      </c>
      <c r="D28" s="88">
        <f t="shared" si="0"/>
        <v>1.0053260892814494E-3</v>
      </c>
      <c r="E28" s="53"/>
    </row>
    <row r="29" spans="1:5" ht="15.75" customHeight="1" x14ac:dyDescent="0.3">
      <c r="C29" s="95">
        <v>232.58</v>
      </c>
      <c r="D29" s="88">
        <f t="shared" si="0"/>
        <v>-5.0266304464076112E-3</v>
      </c>
      <c r="E29" s="53"/>
    </row>
    <row r="30" spans="1:5" ht="15.75" customHeight="1" x14ac:dyDescent="0.3">
      <c r="C30" s="95">
        <v>233.23</v>
      </c>
      <c r="D30" s="88">
        <f t="shared" si="0"/>
        <v>-2.2459412632886313E-3</v>
      </c>
      <c r="E30" s="53"/>
    </row>
    <row r="31" spans="1:5" ht="15.75" customHeight="1" x14ac:dyDescent="0.3">
      <c r="C31" s="95">
        <v>235.47</v>
      </c>
      <c r="D31" s="88">
        <f t="shared" si="0"/>
        <v>7.3367414600756129E-3</v>
      </c>
      <c r="E31" s="53"/>
    </row>
    <row r="32" spans="1:5" ht="15.75" customHeight="1" x14ac:dyDescent="0.3">
      <c r="C32" s="95">
        <v>235.94</v>
      </c>
      <c r="D32" s="88">
        <f t="shared" si="0"/>
        <v>9.3473936386386323E-3</v>
      </c>
      <c r="E32" s="53"/>
    </row>
    <row r="33" spans="1:7" ht="15.75" customHeight="1" x14ac:dyDescent="0.3">
      <c r="C33" s="95">
        <v>234.48</v>
      </c>
      <c r="D33" s="88">
        <f t="shared" si="0"/>
        <v>3.1015379350172864E-3</v>
      </c>
      <c r="E33" s="53"/>
    </row>
    <row r="34" spans="1:7" ht="15.75" customHeight="1" x14ac:dyDescent="0.3">
      <c r="C34" s="95">
        <v>232.66</v>
      </c>
      <c r="D34" s="88">
        <f t="shared" si="0"/>
        <v>-4.6843917777161011E-3</v>
      </c>
      <c r="E34" s="53"/>
    </row>
    <row r="35" spans="1:7" ht="15.75" customHeight="1" x14ac:dyDescent="0.3">
      <c r="C35" s="95">
        <v>232.51</v>
      </c>
      <c r="D35" s="88">
        <f t="shared" si="0"/>
        <v>-5.3260892815128356E-3</v>
      </c>
      <c r="E35" s="53"/>
    </row>
    <row r="36" spans="1:7" ht="15.75" customHeight="1" x14ac:dyDescent="0.3">
      <c r="C36" s="95">
        <v>233.76</v>
      </c>
      <c r="D36" s="88">
        <f t="shared" si="0"/>
        <v>2.1389916793082631E-5</v>
      </c>
      <c r="E36" s="53"/>
    </row>
    <row r="37" spans="1:7" ht="15.75" customHeight="1" x14ac:dyDescent="0.3">
      <c r="C37" s="95">
        <v>232.97</v>
      </c>
      <c r="D37" s="88">
        <f t="shared" si="0"/>
        <v>-3.3582169365362234E-3</v>
      </c>
      <c r="E37" s="53"/>
    </row>
    <row r="38" spans="1:7" ht="15.75" customHeight="1" x14ac:dyDescent="0.3">
      <c r="C38" s="95">
        <v>235.14</v>
      </c>
      <c r="D38" s="88">
        <f t="shared" si="0"/>
        <v>5.9250069517227969E-3</v>
      </c>
      <c r="E38" s="53"/>
    </row>
    <row r="39" spans="1:7" ht="15.75" customHeight="1" x14ac:dyDescent="0.3">
      <c r="C39" s="95">
        <v>234</v>
      </c>
      <c r="D39" s="88">
        <f t="shared" si="0"/>
        <v>1.0481059228678578E-3</v>
      </c>
      <c r="E39" s="53"/>
    </row>
    <row r="40" spans="1:7" ht="15.75" customHeight="1" x14ac:dyDescent="0.3">
      <c r="C40" s="95">
        <v>234.5</v>
      </c>
      <c r="D40" s="88">
        <f t="shared" si="0"/>
        <v>3.187097602190225E-3</v>
      </c>
      <c r="E40" s="53"/>
    </row>
    <row r="41" spans="1:7" ht="15.75" customHeight="1" x14ac:dyDescent="0.3">
      <c r="C41" s="95">
        <v>232.14</v>
      </c>
      <c r="D41" s="88">
        <f t="shared" si="0"/>
        <v>-6.9089431242114066E-3</v>
      </c>
      <c r="E41" s="53"/>
    </row>
    <row r="42" spans="1:7" ht="15.75" customHeight="1" x14ac:dyDescent="0.3">
      <c r="C42" s="95">
        <v>231.71</v>
      </c>
      <c r="D42" s="88">
        <f t="shared" si="0"/>
        <v>-8.7484759684285495E-3</v>
      </c>
      <c r="E42" s="53"/>
    </row>
    <row r="43" spans="1:7" ht="16.5" customHeight="1" x14ac:dyDescent="0.3">
      <c r="C43" s="96">
        <v>234.3</v>
      </c>
      <c r="D43" s="89">
        <f t="shared" si="0"/>
        <v>2.3315009304613267E-3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4675.1000000000004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233.75500000000002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7">
        <f>C46</f>
        <v>233.75500000000002</v>
      </c>
      <c r="C49" s="93">
        <f>-IF(C46&lt;=80,10%,IF(C46&lt;250,7.5%,5%))</f>
        <v>-7.4999999999999997E-2</v>
      </c>
      <c r="D49" s="81">
        <f>IF(C46&lt;=80,C46*0.9,IF(C46&lt;250,C46*0.925,C46*0.95))</f>
        <v>216.22337500000003</v>
      </c>
    </row>
    <row r="50" spans="1:6" ht="17.25" customHeight="1" x14ac:dyDescent="0.3">
      <c r="B50" s="468"/>
      <c r="C50" s="94">
        <f>IF(C46&lt;=80, 10%, IF(C46&lt;250, 7.5%, 5%))</f>
        <v>7.4999999999999997E-2</v>
      </c>
      <c r="D50" s="81">
        <f>IF(C46&lt;=80, C46*1.1, IF(C46&lt;250, C46*1.075, C46*1.05))</f>
        <v>251.28662500000002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5" zoomScale="60" zoomScaleNormal="40" zoomScalePageLayoutView="60" workbookViewId="0">
      <selection activeCell="A46" sqref="A46:B4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45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46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98"/>
    </row>
    <row r="16" spans="1:9" ht="19.5" customHeight="1" x14ac:dyDescent="0.3">
      <c r="A16" s="509" t="s">
        <v>31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47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100" t="s">
        <v>33</v>
      </c>
      <c r="B18" s="508" t="s">
        <v>5</v>
      </c>
      <c r="C18" s="508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3" t="s">
        <v>125</v>
      </c>
      <c r="C20" s="51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3" t="s">
        <v>11</v>
      </c>
      <c r="C21" s="513"/>
      <c r="D21" s="513"/>
      <c r="E21" s="513"/>
      <c r="F21" s="513"/>
      <c r="G21" s="513"/>
      <c r="H21" s="513"/>
      <c r="I21" s="104"/>
    </row>
    <row r="22" spans="1:14" ht="26.25" customHeight="1" x14ac:dyDescent="0.4">
      <c r="A22" s="100" t="s">
        <v>37</v>
      </c>
      <c r="B22" s="105">
        <v>42533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42534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8" t="s">
        <v>125</v>
      </c>
      <c r="C26" s="508"/>
    </row>
    <row r="27" spans="1:14" ht="26.25" customHeight="1" x14ac:dyDescent="0.4">
      <c r="A27" s="109" t="s">
        <v>48</v>
      </c>
      <c r="B27" s="506" t="s">
        <v>128</v>
      </c>
      <c r="C27" s="506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49</v>
      </c>
      <c r="B29" s="111">
        <v>0</v>
      </c>
      <c r="C29" s="483" t="s">
        <v>50</v>
      </c>
      <c r="D29" s="484"/>
      <c r="E29" s="484"/>
      <c r="F29" s="484"/>
      <c r="G29" s="48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6" t="s">
        <v>53</v>
      </c>
      <c r="D31" s="487"/>
      <c r="E31" s="487"/>
      <c r="F31" s="487"/>
      <c r="G31" s="487"/>
      <c r="H31" s="48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6" t="s">
        <v>55</v>
      </c>
      <c r="D32" s="487"/>
      <c r="E32" s="487"/>
      <c r="F32" s="487"/>
      <c r="G32" s="487"/>
      <c r="H32" s="48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89" t="s">
        <v>59</v>
      </c>
      <c r="E36" s="507"/>
      <c r="F36" s="489" t="s">
        <v>60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17622978</v>
      </c>
      <c r="E38" s="133">
        <f>IF(ISBLANK(D38),"-",$D$48/$D$45*D38)</f>
        <v>18291267.758836862</v>
      </c>
      <c r="F38" s="132">
        <v>17875243</v>
      </c>
      <c r="G38" s="134">
        <f>IF(ISBLANK(F38),"-",$D$48/$F$45*F38)</f>
        <v>17792826.627063442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17633869</v>
      </c>
      <c r="E39" s="138">
        <f>IF(ISBLANK(D39),"-",$D$48/$D$45*D39)</f>
        <v>18302571.761892505</v>
      </c>
      <c r="F39" s="137">
        <v>17841555</v>
      </c>
      <c r="G39" s="139">
        <f>IF(ISBLANK(F39),"-",$D$48/$F$45*F39)</f>
        <v>17759293.950421646</v>
      </c>
      <c r="I39" s="491">
        <f>ABS((F43/D43*D42)-F42)/D42</f>
        <v>3.0228679482279405E-2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17616673</v>
      </c>
      <c r="E40" s="138">
        <f>IF(ISBLANK(D40),"-",$D$48/$D$45*D40)</f>
        <v>18284723.663779858</v>
      </c>
      <c r="F40" s="137">
        <v>17817666</v>
      </c>
      <c r="G40" s="139">
        <f>IF(ISBLANK(F40),"-",$D$48/$F$45*F40)</f>
        <v>17735515.094084203</v>
      </c>
      <c r="I40" s="49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17624506.666666668</v>
      </c>
      <c r="E42" s="148">
        <f>AVERAGE(E38:E41)</f>
        <v>18292854.394836407</v>
      </c>
      <c r="F42" s="147">
        <f>AVERAGE(F38:F41)</f>
        <v>17844821.333333332</v>
      </c>
      <c r="G42" s="149">
        <f>AVERAGE(G38:G41)</f>
        <v>17762545.223856431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14.51</v>
      </c>
      <c r="E43" s="140"/>
      <c r="F43" s="152">
        <v>15.13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14.51</v>
      </c>
      <c r="E44" s="155"/>
      <c r="F44" s="154">
        <f>F43*$B$34</f>
        <v>15.13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14.45196</v>
      </c>
      <c r="E45" s="158"/>
      <c r="F45" s="157">
        <f>F44*$B$30/100</f>
        <v>15.06948</v>
      </c>
      <c r="H45" s="150"/>
    </row>
    <row r="46" spans="1:14" ht="19.5" customHeight="1" x14ac:dyDescent="0.3">
      <c r="A46" s="477" t="s">
        <v>78</v>
      </c>
      <c r="B46" s="478"/>
      <c r="C46" s="153" t="s">
        <v>79</v>
      </c>
      <c r="D46" s="159">
        <f>D45/$B$45</f>
        <v>5.7807839999999999E-2</v>
      </c>
      <c r="E46" s="160"/>
      <c r="F46" s="161">
        <f>F45/$B$45</f>
        <v>6.0277919999999999E-2</v>
      </c>
      <c r="H46" s="150"/>
    </row>
    <row r="47" spans="1:14" ht="27" customHeight="1" x14ac:dyDescent="0.4">
      <c r="A47" s="479"/>
      <c r="B47" s="480"/>
      <c r="C47" s="162" t="s">
        <v>80</v>
      </c>
      <c r="D47" s="163">
        <v>0.06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18027699.809346419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1.6146742458052761E-2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Rifampicin 60mg, Isoniazid 30mg</v>
      </c>
    </row>
    <row r="56" spans="1:12" ht="26.25" customHeight="1" x14ac:dyDescent="0.4">
      <c r="A56" s="177" t="s">
        <v>87</v>
      </c>
      <c r="B56" s="178">
        <v>60</v>
      </c>
      <c r="C56" s="99" t="str">
        <f>B20</f>
        <v>Rifampicin</v>
      </c>
      <c r="H56" s="179"/>
    </row>
    <row r="57" spans="1:12" ht="18.75" x14ac:dyDescent="0.3">
      <c r="A57" s="176" t="s">
        <v>88</v>
      </c>
      <c r="B57" s="268">
        <f>Uniformity!C46</f>
        <v>233.75500000000002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494" t="s">
        <v>94</v>
      </c>
      <c r="D60" s="497">
        <v>22.99</v>
      </c>
      <c r="E60" s="182">
        <v>1</v>
      </c>
      <c r="F60" s="183">
        <v>18359724</v>
      </c>
      <c r="G60" s="269">
        <f>IF(ISBLANK(F60),"-",(F60/$D$50*$D$47*$B$68)*($B$57/$D$60))</f>
        <v>62.129665974981791</v>
      </c>
      <c r="H60" s="184">
        <f t="shared" ref="H60:H71" si="0">IF(ISBLANK(F60),"-",G60/$B$56)</f>
        <v>1.0354944329163631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495"/>
      <c r="D61" s="498"/>
      <c r="E61" s="185">
        <v>2</v>
      </c>
      <c r="F61" s="137">
        <v>18312417</v>
      </c>
      <c r="G61" s="270">
        <f>IF(ISBLANK(F61),"-",(F61/$D$50*$D$47*$B$68)*($B$57/$D$60))</f>
        <v>61.969578159485287</v>
      </c>
      <c r="H61" s="186">
        <f t="shared" si="0"/>
        <v>1.0328263026580882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5"/>
      <c r="D62" s="498"/>
      <c r="E62" s="185">
        <v>3</v>
      </c>
      <c r="F62" s="187">
        <v>18280958</v>
      </c>
      <c r="G62" s="270">
        <f>IF(ISBLANK(F62),"-",(F62/$D$50*$D$47*$B$68)*($B$57/$D$60))</f>
        <v>61.863120286703179</v>
      </c>
      <c r="H62" s="186">
        <f t="shared" si="0"/>
        <v>1.0310520047783862</v>
      </c>
      <c r="L62" s="112"/>
    </row>
    <row r="63" spans="1:12" ht="27" customHeight="1" x14ac:dyDescent="0.4">
      <c r="A63" s="124" t="s">
        <v>97</v>
      </c>
      <c r="B63" s="125">
        <v>1</v>
      </c>
      <c r="C63" s="505"/>
      <c r="D63" s="49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4" t="s">
        <v>99</v>
      </c>
      <c r="D64" s="497">
        <v>21.92</v>
      </c>
      <c r="E64" s="182">
        <v>1</v>
      </c>
      <c r="F64" s="183">
        <v>16918449</v>
      </c>
      <c r="G64" s="271">
        <f>IF(ISBLANK(F64),"-",(F64/$D$50*$D$47*$B$68)*($B$57/$D$64))</f>
        <v>60.047072448491349</v>
      </c>
      <c r="H64" s="190">
        <f t="shared" si="0"/>
        <v>1.0007845408081892</v>
      </c>
    </row>
    <row r="65" spans="1:8" ht="26.25" customHeight="1" x14ac:dyDescent="0.4">
      <c r="A65" s="124" t="s">
        <v>100</v>
      </c>
      <c r="B65" s="125">
        <v>1</v>
      </c>
      <c r="C65" s="495"/>
      <c r="D65" s="498"/>
      <c r="E65" s="185">
        <v>2</v>
      </c>
      <c r="F65" s="137">
        <v>16893855</v>
      </c>
      <c r="G65" s="272">
        <f>IF(ISBLANK(F65),"-",(F65/$D$50*$D$47*$B$68)*($B$57/$D$64))</f>
        <v>59.95978325905098</v>
      </c>
      <c r="H65" s="191">
        <f t="shared" si="0"/>
        <v>0.99932972098418305</v>
      </c>
    </row>
    <row r="66" spans="1:8" ht="26.25" customHeight="1" x14ac:dyDescent="0.4">
      <c r="A66" s="124" t="s">
        <v>101</v>
      </c>
      <c r="B66" s="125">
        <v>1</v>
      </c>
      <c r="C66" s="495"/>
      <c r="D66" s="498"/>
      <c r="E66" s="185">
        <v>3</v>
      </c>
      <c r="F66" s="137">
        <v>16861020</v>
      </c>
      <c r="G66" s="272">
        <f>IF(ISBLANK(F66),"-",(F66/$D$50*$D$47*$B$68)*($B$57/$D$64))</f>
        <v>59.843245057242633</v>
      </c>
      <c r="H66" s="191">
        <f t="shared" si="0"/>
        <v>0.99738741762071059</v>
      </c>
    </row>
    <row r="67" spans="1:8" ht="27" customHeight="1" x14ac:dyDescent="0.4">
      <c r="A67" s="124" t="s">
        <v>102</v>
      </c>
      <c r="B67" s="125">
        <v>1</v>
      </c>
      <c r="C67" s="505"/>
      <c r="D67" s="49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494" t="s">
        <v>104</v>
      </c>
      <c r="D68" s="497">
        <v>23.71</v>
      </c>
      <c r="E68" s="182">
        <v>1</v>
      </c>
      <c r="F68" s="183">
        <v>18871763</v>
      </c>
      <c r="G68" s="271">
        <f>IF(ISBLANK(F68),"-",(F68/$D$50*$D$47*$B$68)*($B$57/$D$68))</f>
        <v>61.923110232365694</v>
      </c>
      <c r="H68" s="186">
        <f t="shared" si="0"/>
        <v>1.0320518372060949</v>
      </c>
    </row>
    <row r="69" spans="1:8" ht="27" customHeight="1" x14ac:dyDescent="0.4">
      <c r="A69" s="172" t="s">
        <v>105</v>
      </c>
      <c r="B69" s="194">
        <f>(D47*B68)/B56*B57</f>
        <v>23.375500000000002</v>
      </c>
      <c r="C69" s="495"/>
      <c r="D69" s="498"/>
      <c r="E69" s="185">
        <v>2</v>
      </c>
      <c r="F69" s="137">
        <v>18849759</v>
      </c>
      <c r="G69" s="272">
        <f>IF(ISBLANK(F69),"-",(F69/$D$50*$D$47*$B$68)*($B$57/$D$68))</f>
        <v>61.850909446591032</v>
      </c>
      <c r="H69" s="186">
        <f t="shared" si="0"/>
        <v>1.0308484907765172</v>
      </c>
    </row>
    <row r="70" spans="1:8" ht="26.25" customHeight="1" x14ac:dyDescent="0.4">
      <c r="A70" s="500" t="s">
        <v>78</v>
      </c>
      <c r="B70" s="501"/>
      <c r="C70" s="495"/>
      <c r="D70" s="498"/>
      <c r="E70" s="185">
        <v>3</v>
      </c>
      <c r="F70" s="137">
        <v>18820907</v>
      </c>
      <c r="G70" s="272">
        <f>IF(ISBLANK(F70),"-",(F70/$D$50*$D$47*$B$68)*($B$57/$D$68))</f>
        <v>61.756238610780727</v>
      </c>
      <c r="H70" s="186">
        <f t="shared" si="0"/>
        <v>1.0292706435130121</v>
      </c>
    </row>
    <row r="71" spans="1:8" ht="27" customHeight="1" x14ac:dyDescent="0.4">
      <c r="A71" s="502"/>
      <c r="B71" s="503"/>
      <c r="C71" s="496"/>
      <c r="D71" s="49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61.260302608410306</v>
      </c>
      <c r="H72" s="199">
        <f>AVERAGE(H60:H71)</f>
        <v>1.021005043473505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1.6147006844321483E-2</v>
      </c>
      <c r="H73" s="274">
        <f>STDEV(H60:H71)/H72</f>
        <v>1.6147006844321448E-2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481" t="str">
        <f>B20</f>
        <v>Rifampicin</v>
      </c>
      <c r="D76" s="481"/>
      <c r="E76" s="205" t="s">
        <v>108</v>
      </c>
      <c r="F76" s="205"/>
      <c r="G76" s="206">
        <f>H72</f>
        <v>1.021005043473505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4" t="str">
        <f>B26</f>
        <v>Rifampicin</v>
      </c>
      <c r="C79" s="504"/>
    </row>
    <row r="80" spans="1:8" ht="26.25" customHeight="1" x14ac:dyDescent="0.4">
      <c r="A80" s="109" t="s">
        <v>48</v>
      </c>
      <c r="B80" s="504" t="str">
        <f>B27</f>
        <v>R5-1</v>
      </c>
      <c r="C80" s="504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49</v>
      </c>
      <c r="B82" s="111">
        <v>0</v>
      </c>
      <c r="C82" s="483" t="s">
        <v>50</v>
      </c>
      <c r="D82" s="484"/>
      <c r="E82" s="484"/>
      <c r="F82" s="484"/>
      <c r="G82" s="48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6" t="s">
        <v>111</v>
      </c>
      <c r="D84" s="487"/>
      <c r="E84" s="487"/>
      <c r="F84" s="487"/>
      <c r="G84" s="487"/>
      <c r="H84" s="48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6" t="s">
        <v>112</v>
      </c>
      <c r="D85" s="487"/>
      <c r="E85" s="487"/>
      <c r="F85" s="487"/>
      <c r="G85" s="487"/>
      <c r="H85" s="48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489" t="s">
        <v>60</v>
      </c>
      <c r="G89" s="490"/>
    </row>
    <row r="90" spans="1:12" ht="27" customHeight="1" x14ac:dyDescent="0.4">
      <c r="A90" s="124" t="s">
        <v>61</v>
      </c>
      <c r="B90" s="125">
        <v>10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13">
        <v>1</v>
      </c>
      <c r="D91" s="132">
        <v>19132056</v>
      </c>
      <c r="E91" s="133">
        <f>IF(ISBLANK(D91),"-",$D$101/$D$98*D91)</f>
        <v>21159827.678194601</v>
      </c>
      <c r="F91" s="132">
        <v>17356071</v>
      </c>
      <c r="G91" s="134">
        <f>IF(ISBLANK(F91),"-",$D$101/$F$98*F91)</f>
        <v>20909256.175168641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19126037</v>
      </c>
      <c r="E92" s="138">
        <f>IF(ISBLANK(D92),"-",$D$101/$D$98*D92)</f>
        <v>21153170.735375959</v>
      </c>
      <c r="F92" s="137">
        <v>17351186</v>
      </c>
      <c r="G92" s="139">
        <f>IF(ISBLANK(F92),"-",$D$101/$F$98*F92)</f>
        <v>20903371.103805676</v>
      </c>
      <c r="I92" s="491">
        <f>ABS((F96/D96*D95)-F95)/D95</f>
        <v>1.0455297148327089E-2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19103263</v>
      </c>
      <c r="E93" s="138">
        <f>IF(ISBLANK(D93),"-",$D$101/$D$98*D93)</f>
        <v>21127982.960703798</v>
      </c>
      <c r="F93" s="137">
        <v>17353240</v>
      </c>
      <c r="G93" s="139">
        <f>IF(ISBLANK(F93),"-",$D$101/$F$98*F93)</f>
        <v>20905845.604640789</v>
      </c>
      <c r="I93" s="491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19120452</v>
      </c>
      <c r="E95" s="148">
        <f>AVERAGE(E91:E94)</f>
        <v>21146993.791424785</v>
      </c>
      <c r="F95" s="218">
        <f>AVERAGE(F91:F94)</f>
        <v>17353499</v>
      </c>
      <c r="G95" s="219">
        <f>AVERAGE(G91:G94)</f>
        <v>20906157.627871703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15.13</v>
      </c>
      <c r="E96" s="140"/>
      <c r="F96" s="152">
        <v>13.89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15.13</v>
      </c>
      <c r="E97" s="155"/>
      <c r="F97" s="154">
        <f>F96*$B$87</f>
        <v>13.89</v>
      </c>
    </row>
    <row r="98" spans="1:10" ht="19.5" customHeight="1" x14ac:dyDescent="0.3">
      <c r="A98" s="124" t="s">
        <v>76</v>
      </c>
      <c r="B98" s="224">
        <f>(B97/B96)*(B95/B94)*(B93/B92)*(B91/B90)*B89</f>
        <v>250</v>
      </c>
      <c r="C98" s="222" t="s">
        <v>115</v>
      </c>
      <c r="D98" s="225">
        <f>D97*$B$83/100</f>
        <v>15.06948</v>
      </c>
      <c r="E98" s="158"/>
      <c r="F98" s="157">
        <f>F97*$B$83/100</f>
        <v>13.834439999999999</v>
      </c>
    </row>
    <row r="99" spans="1:10" ht="19.5" customHeight="1" x14ac:dyDescent="0.3">
      <c r="A99" s="477" t="s">
        <v>78</v>
      </c>
      <c r="B99" s="492"/>
      <c r="C99" s="222" t="s">
        <v>116</v>
      </c>
      <c r="D99" s="226">
        <f>D98/$B$98</f>
        <v>6.0277919999999999E-2</v>
      </c>
      <c r="E99" s="158"/>
      <c r="F99" s="161">
        <f>F98/$B$98</f>
        <v>5.5337759999999993E-2</v>
      </c>
      <c r="G99" s="227"/>
      <c r="H99" s="150"/>
    </row>
    <row r="100" spans="1:10" ht="19.5" customHeight="1" x14ac:dyDescent="0.3">
      <c r="A100" s="479"/>
      <c r="B100" s="493"/>
      <c r="C100" s="222" t="s">
        <v>80</v>
      </c>
      <c r="D100" s="228">
        <f>$B$56/$B$116</f>
        <v>6.6666666666666666E-2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16.666666666666668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16.666666666666668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21026575.709648248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6.2944947947573054E-3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20224174</v>
      </c>
      <c r="E108" s="275">
        <f t="shared" ref="E108:E113" si="1">IF(ISBLANK(D108),"-",D108/$D$103*$D$100*$B$116)</f>
        <v>57.710321297975135</v>
      </c>
      <c r="F108" s="245">
        <f t="shared" ref="F108:F113" si="2">IF(ISBLANK(D108), "-", E108/$B$56)</f>
        <v>0.96183868829958563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20053902</v>
      </c>
      <c r="E109" s="276">
        <f t="shared" si="1"/>
        <v>57.224444751024492</v>
      </c>
      <c r="F109" s="246">
        <f t="shared" si="2"/>
        <v>0.95374074585040824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20215161</v>
      </c>
      <c r="E110" s="276">
        <f t="shared" si="1"/>
        <v>57.684602416904461</v>
      </c>
      <c r="F110" s="246">
        <f t="shared" si="2"/>
        <v>0.96141004028174104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19762539</v>
      </c>
      <c r="E111" s="276">
        <f t="shared" si="1"/>
        <v>56.393031198889226</v>
      </c>
      <c r="F111" s="246">
        <f t="shared" si="2"/>
        <v>0.93988385331482038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20118306</v>
      </c>
      <c r="E112" s="276">
        <f t="shared" si="1"/>
        <v>57.408223605620734</v>
      </c>
      <c r="F112" s="246">
        <f t="shared" si="2"/>
        <v>0.95680372676034553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20124498</v>
      </c>
      <c r="E113" s="277">
        <f t="shared" si="1"/>
        <v>57.425892673809962</v>
      </c>
      <c r="F113" s="249">
        <f t="shared" si="2"/>
        <v>0.95709821123016603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57.307752657370663</v>
      </c>
      <c r="F115" s="252">
        <f>AVERAGE(F108:F113)</f>
        <v>0.95512921095617787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8.4474465760024011E-3</v>
      </c>
      <c r="F116" s="254">
        <f>STDEV(F108:F113)/F115</f>
        <v>8.4474465760024271E-3</v>
      </c>
      <c r="I116" s="98"/>
    </row>
    <row r="117" spans="1:10" ht="27" customHeight="1" x14ac:dyDescent="0.4">
      <c r="A117" s="477" t="s">
        <v>78</v>
      </c>
      <c r="B117" s="478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79"/>
      <c r="B118" s="480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481" t="str">
        <f>B20</f>
        <v>Rifampicin</v>
      </c>
      <c r="D120" s="481"/>
      <c r="E120" s="205" t="s">
        <v>124</v>
      </c>
      <c r="F120" s="205"/>
      <c r="G120" s="206">
        <f>F115</f>
        <v>0.95512921095617787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2" t="s">
        <v>26</v>
      </c>
      <c r="C122" s="482"/>
      <c r="E122" s="211" t="s">
        <v>27</v>
      </c>
      <c r="F122" s="260"/>
      <c r="G122" s="482" t="s">
        <v>28</v>
      </c>
      <c r="H122" s="482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16145833333333334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E41" sqref="E41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127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8.11</v>
      </c>
      <c r="C20" s="72"/>
      <c r="D20" s="72"/>
      <c r="E20" s="72"/>
    </row>
    <row r="21" spans="1:5" ht="16.5" customHeight="1" x14ac:dyDescent="0.3">
      <c r="A21" s="8" t="s">
        <v>10</v>
      </c>
      <c r="B21" s="13">
        <f>8.11/50*5/25</f>
        <v>3.2439999999999997E-2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11244901</v>
      </c>
      <c r="C24" s="18">
        <v>9188.2999999999993</v>
      </c>
      <c r="D24" s="19">
        <v>1.1000000000000001</v>
      </c>
      <c r="E24" s="20">
        <v>2.9</v>
      </c>
    </row>
    <row r="25" spans="1:5" ht="16.5" customHeight="1" x14ac:dyDescent="0.3">
      <c r="A25" s="17">
        <v>2</v>
      </c>
      <c r="B25" s="18">
        <v>11269310</v>
      </c>
      <c r="C25" s="18">
        <v>9195.1</v>
      </c>
      <c r="D25" s="19">
        <v>1.1000000000000001</v>
      </c>
      <c r="E25" s="19">
        <v>2.9</v>
      </c>
    </row>
    <row r="26" spans="1:5" ht="16.5" customHeight="1" x14ac:dyDescent="0.3">
      <c r="A26" s="17">
        <v>3</v>
      </c>
      <c r="B26" s="18">
        <v>11276841</v>
      </c>
      <c r="C26" s="18">
        <v>9203.9</v>
      </c>
      <c r="D26" s="19">
        <v>1.1000000000000001</v>
      </c>
      <c r="E26" s="19">
        <v>2.9</v>
      </c>
    </row>
    <row r="27" spans="1:5" ht="16.5" customHeight="1" x14ac:dyDescent="0.3">
      <c r="A27" s="17">
        <v>4</v>
      </c>
      <c r="B27" s="18">
        <v>11270495</v>
      </c>
      <c r="C27" s="18">
        <v>9199.9</v>
      </c>
      <c r="D27" s="19">
        <v>1.1000000000000001</v>
      </c>
      <c r="E27" s="19">
        <v>2.9</v>
      </c>
    </row>
    <row r="28" spans="1:5" ht="16.5" customHeight="1" x14ac:dyDescent="0.3">
      <c r="A28" s="17">
        <v>5</v>
      </c>
      <c r="B28" s="18">
        <v>11270271</v>
      </c>
      <c r="C28" s="18">
        <v>9161.5</v>
      </c>
      <c r="D28" s="19">
        <v>1.1000000000000001</v>
      </c>
      <c r="E28" s="19">
        <v>2.9</v>
      </c>
    </row>
    <row r="29" spans="1:5" ht="16.5" customHeight="1" x14ac:dyDescent="0.3">
      <c r="A29" s="17">
        <v>6</v>
      </c>
      <c r="B29" s="21">
        <v>11272591</v>
      </c>
      <c r="C29" s="21">
        <v>9180.4</v>
      </c>
      <c r="D29" s="22">
        <v>1.1000000000000001</v>
      </c>
      <c r="E29" s="22">
        <v>2.9</v>
      </c>
    </row>
    <row r="30" spans="1:5" ht="16.5" customHeight="1" x14ac:dyDescent="0.3">
      <c r="A30" s="23" t="s">
        <v>18</v>
      </c>
      <c r="B30" s="24">
        <v>11267401.5</v>
      </c>
      <c r="C30" s="25">
        <v>9188.1833333333343</v>
      </c>
      <c r="D30" s="26">
        <v>1.0999999999999999</v>
      </c>
      <c r="E30" s="26">
        <v>2.9</v>
      </c>
    </row>
    <row r="31" spans="1:5" ht="16.5" customHeight="1" x14ac:dyDescent="0.3">
      <c r="A31" s="27" t="s">
        <v>19</v>
      </c>
      <c r="B31" s="28">
        <f>(STDEV(B24:B29)/B30)</f>
        <v>1.0070501581719027E-3</v>
      </c>
      <c r="C31" s="29"/>
      <c r="D31" s="29"/>
      <c r="E31" s="30"/>
    </row>
    <row r="32" spans="1:5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127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98.5</v>
      </c>
      <c r="C40" s="72"/>
      <c r="D40" s="72"/>
      <c r="E40" s="72"/>
    </row>
    <row r="41" spans="1:5" ht="16.5" customHeight="1" x14ac:dyDescent="0.3">
      <c r="A41" s="8" t="s">
        <v>8</v>
      </c>
      <c r="B41" s="12">
        <v>8.99</v>
      </c>
      <c r="C41" s="72"/>
      <c r="D41" s="72"/>
      <c r="E41" s="72"/>
    </row>
    <row r="42" spans="1:5" ht="16.5" customHeight="1" x14ac:dyDescent="0.3">
      <c r="A42" s="8" t="s">
        <v>10</v>
      </c>
      <c r="B42" s="13">
        <f>8.99/100</f>
        <v>8.9900000000000008E-2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29147843</v>
      </c>
      <c r="C45" s="18">
        <v>7569.91</v>
      </c>
      <c r="D45" s="19">
        <v>1.1100000000000001</v>
      </c>
      <c r="E45" s="20">
        <v>2.71</v>
      </c>
    </row>
    <row r="46" spans="1:5" ht="16.5" customHeight="1" x14ac:dyDescent="0.3">
      <c r="A46" s="17">
        <v>2</v>
      </c>
      <c r="B46" s="18">
        <v>29099893</v>
      </c>
      <c r="C46" s="18">
        <v>7595.64</v>
      </c>
      <c r="D46" s="19">
        <v>1.1299999999999999</v>
      </c>
      <c r="E46" s="19">
        <v>2.71</v>
      </c>
    </row>
    <row r="47" spans="1:5" ht="16.5" customHeight="1" x14ac:dyDescent="0.3">
      <c r="A47" s="17">
        <v>3</v>
      </c>
      <c r="B47" s="18">
        <v>29154278</v>
      </c>
      <c r="C47" s="18">
        <v>7652.54</v>
      </c>
      <c r="D47" s="19">
        <v>1.1000000000000001</v>
      </c>
      <c r="E47" s="19">
        <v>2.72</v>
      </c>
    </row>
    <row r="48" spans="1:5" ht="16.5" customHeight="1" x14ac:dyDescent="0.3">
      <c r="A48" s="17">
        <v>4</v>
      </c>
      <c r="B48" s="18">
        <v>29208840</v>
      </c>
      <c r="C48" s="18">
        <v>7660.47</v>
      </c>
      <c r="D48" s="19">
        <v>1.1200000000000001</v>
      </c>
      <c r="E48" s="19">
        <v>2.72</v>
      </c>
    </row>
    <row r="49" spans="1:7" ht="16.5" customHeight="1" x14ac:dyDescent="0.3">
      <c r="A49" s="17">
        <v>5</v>
      </c>
      <c r="B49" s="18">
        <v>28937481</v>
      </c>
      <c r="C49" s="18">
        <v>7671.54</v>
      </c>
      <c r="D49" s="19">
        <v>1.07</v>
      </c>
      <c r="E49" s="19">
        <v>2.71</v>
      </c>
    </row>
    <row r="50" spans="1:7" ht="16.5" customHeight="1" x14ac:dyDescent="0.3">
      <c r="A50" s="17">
        <v>6</v>
      </c>
      <c r="B50" s="21">
        <v>28930411</v>
      </c>
      <c r="C50" s="21">
        <v>7721.44</v>
      </c>
      <c r="D50" s="22">
        <v>1.1000000000000001</v>
      </c>
      <c r="E50" s="22">
        <v>2.71</v>
      </c>
    </row>
    <row r="51" spans="1:7" ht="16.5" customHeight="1" x14ac:dyDescent="0.3">
      <c r="A51" s="23" t="s">
        <v>18</v>
      </c>
      <c r="B51" s="24">
        <f>AVERAGE(B45:B50)</f>
        <v>29079791</v>
      </c>
      <c r="C51" s="25">
        <f>AVERAGE(C45:C50)</f>
        <v>7645.2566666666671</v>
      </c>
      <c r="D51" s="26">
        <f>AVERAGE(D45:D50)</f>
        <v>1.1050000000000002</v>
      </c>
      <c r="E51" s="26">
        <f>AVERAGE(E45:E50)</f>
        <v>2.7133333333333334</v>
      </c>
    </row>
    <row r="52" spans="1:7" ht="16.5" customHeight="1" x14ac:dyDescent="0.3">
      <c r="A52" s="27" t="s">
        <v>19</v>
      </c>
      <c r="B52" s="28">
        <f>(STDEV(B45:B50)/B51)</f>
        <v>4.0631491236362846E-3</v>
      </c>
      <c r="C52" s="29"/>
      <c r="D52" s="29"/>
      <c r="E52" s="30"/>
    </row>
    <row r="53" spans="1:7" s="410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6" t="s">
        <v>26</v>
      </c>
      <c r="C59" s="466"/>
      <c r="E59" s="464" t="s">
        <v>27</v>
      </c>
      <c r="F59" s="46"/>
      <c r="G59" s="464" t="s">
        <v>28</v>
      </c>
    </row>
    <row r="60" spans="1:7" ht="15" customHeight="1" x14ac:dyDescent="0.3">
      <c r="A60" s="47" t="s">
        <v>29</v>
      </c>
      <c r="B60" s="49" t="s">
        <v>126</v>
      </c>
      <c r="C60" s="49"/>
      <c r="E60" s="49" t="s">
        <v>130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7" zoomScale="60" zoomScaleNormal="40" zoomScalePageLayoutView="60" workbookViewId="0">
      <selection activeCell="E97" sqref="E9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45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46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281"/>
    </row>
    <row r="16" spans="1:9" ht="19.5" customHeight="1" x14ac:dyDescent="0.3">
      <c r="A16" s="509" t="s">
        <v>31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47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283" t="s">
        <v>33</v>
      </c>
      <c r="B18" s="508" t="s">
        <v>5</v>
      </c>
      <c r="C18" s="508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513" t="s">
        <v>127</v>
      </c>
      <c r="C20" s="513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513" t="s">
        <v>11</v>
      </c>
      <c r="C21" s="513"/>
      <c r="D21" s="513"/>
      <c r="E21" s="513"/>
      <c r="F21" s="513"/>
      <c r="G21" s="513"/>
      <c r="H21" s="513"/>
      <c r="I21" s="287"/>
    </row>
    <row r="22" spans="1:14" ht="26.25" customHeight="1" x14ac:dyDescent="0.4">
      <c r="A22" s="283" t="s">
        <v>37</v>
      </c>
      <c r="B22" s="288">
        <v>42533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>
        <v>42534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8" t="s">
        <v>127</v>
      </c>
      <c r="C26" s="508"/>
    </row>
    <row r="27" spans="1:14" ht="26.25" customHeight="1" x14ac:dyDescent="0.4">
      <c r="A27" s="292" t="s">
        <v>48</v>
      </c>
      <c r="B27" s="506" t="s">
        <v>129</v>
      </c>
      <c r="C27" s="506"/>
    </row>
    <row r="28" spans="1:14" ht="27" customHeight="1" x14ac:dyDescent="0.4">
      <c r="A28" s="292" t="s">
        <v>6</v>
      </c>
      <c r="B28" s="293">
        <v>98.5</v>
      </c>
    </row>
    <row r="29" spans="1:14" s="14" customFormat="1" ht="27" customHeight="1" x14ac:dyDescent="0.4">
      <c r="A29" s="292" t="s">
        <v>49</v>
      </c>
      <c r="B29" s="294">
        <v>0</v>
      </c>
      <c r="C29" s="483" t="s">
        <v>50</v>
      </c>
      <c r="D29" s="484"/>
      <c r="E29" s="484"/>
      <c r="F29" s="484"/>
      <c r="G29" s="485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98.5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486" t="s">
        <v>53</v>
      </c>
      <c r="D31" s="487"/>
      <c r="E31" s="487"/>
      <c r="F31" s="487"/>
      <c r="G31" s="487"/>
      <c r="H31" s="488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486" t="s">
        <v>55</v>
      </c>
      <c r="D32" s="487"/>
      <c r="E32" s="487"/>
      <c r="F32" s="487"/>
      <c r="G32" s="487"/>
      <c r="H32" s="488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50</v>
      </c>
      <c r="C36" s="282"/>
      <c r="D36" s="489" t="s">
        <v>59</v>
      </c>
      <c r="E36" s="507"/>
      <c r="F36" s="489" t="s">
        <v>60</v>
      </c>
      <c r="G36" s="490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5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25</v>
      </c>
      <c r="C38" s="314">
        <v>1</v>
      </c>
      <c r="D38" s="315">
        <v>11214252</v>
      </c>
      <c r="E38" s="316">
        <f>IF(ISBLANK(D38),"-",$D$48/$D$45*D38)</f>
        <v>10528693.660142584</v>
      </c>
      <c r="F38" s="315">
        <v>10337907</v>
      </c>
      <c r="G38" s="317">
        <f>IF(ISBLANK(F38),"-",$D$48/$F$45*F38)</f>
        <v>10782880.536819415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11231266</v>
      </c>
      <c r="E39" s="321">
        <f>IF(ISBLANK(D39),"-",$D$48/$D$45*D39)</f>
        <v>10544667.547115488</v>
      </c>
      <c r="F39" s="320">
        <v>10337217</v>
      </c>
      <c r="G39" s="322">
        <f>IF(ISBLANK(F39),"-",$D$48/$F$45*F39)</f>
        <v>10782160.837215772</v>
      </c>
      <c r="I39" s="491">
        <f>ABS((F43/D43*D42)-F42)/D42</f>
        <v>2.0647943733206553E-2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11233960</v>
      </c>
      <c r="E40" s="321">
        <f>IF(ISBLANK(D40),"-",$D$48/$D$45*D40)</f>
        <v>10547196.855420707</v>
      </c>
      <c r="F40" s="320">
        <v>10335971</v>
      </c>
      <c r="G40" s="322">
        <f>IF(ISBLANK(F40),"-",$D$48/$F$45*F40)</f>
        <v>10780861.205757597</v>
      </c>
      <c r="I40" s="491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11226492.666666666</v>
      </c>
      <c r="E42" s="331">
        <f>AVERAGE(E38:E41)</f>
        <v>10540186.020892926</v>
      </c>
      <c r="F42" s="330">
        <f>AVERAGE(F38:F41)</f>
        <v>10337031.666666666</v>
      </c>
      <c r="G42" s="332">
        <f>AVERAGE(G38:G41)</f>
        <v>10781967.526597595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8.11</v>
      </c>
      <c r="E43" s="323"/>
      <c r="F43" s="335">
        <v>7.3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8.11</v>
      </c>
      <c r="E44" s="338"/>
      <c r="F44" s="337">
        <f>F43*$B$34</f>
        <v>7.3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250</v>
      </c>
      <c r="C45" s="336" t="s">
        <v>77</v>
      </c>
      <c r="D45" s="340">
        <f>D44*$B$30/100</f>
        <v>7.9883499999999996</v>
      </c>
      <c r="E45" s="341"/>
      <c r="F45" s="340">
        <f>F44*$B$30/100</f>
        <v>7.1904999999999992</v>
      </c>
      <c r="H45" s="333"/>
    </row>
    <row r="46" spans="1:14" ht="19.5" customHeight="1" x14ac:dyDescent="0.3">
      <c r="A46" s="477" t="s">
        <v>78</v>
      </c>
      <c r="B46" s="478"/>
      <c r="C46" s="336" t="s">
        <v>79</v>
      </c>
      <c r="D46" s="342">
        <f>D45/$B$45</f>
        <v>3.19534E-2</v>
      </c>
      <c r="E46" s="343"/>
      <c r="F46" s="344">
        <f>F45/$B$45</f>
        <v>2.8761999999999996E-2</v>
      </c>
      <c r="H46" s="333"/>
    </row>
    <row r="47" spans="1:14" ht="27" customHeight="1" x14ac:dyDescent="0.4">
      <c r="A47" s="479"/>
      <c r="B47" s="480"/>
      <c r="C47" s="345" t="s">
        <v>80</v>
      </c>
      <c r="D47" s="346">
        <v>0.03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7.5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7.5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10661076.773745259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1.2436144482098406E-2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Each Tablet contains: Rifampicin 60mg, Isoniazid 30mg</v>
      </c>
    </row>
    <row r="56" spans="1:12" ht="26.25" customHeight="1" x14ac:dyDescent="0.4">
      <c r="A56" s="360" t="s">
        <v>87</v>
      </c>
      <c r="B56" s="361">
        <v>30</v>
      </c>
      <c r="C56" s="282" t="str">
        <f>B20</f>
        <v>Isoniazid</v>
      </c>
      <c r="H56" s="362"/>
    </row>
    <row r="57" spans="1:12" ht="18.75" x14ac:dyDescent="0.3">
      <c r="A57" s="359" t="s">
        <v>88</v>
      </c>
      <c r="B57" s="451">
        <f>Uniformity!C46</f>
        <v>233.75500000000002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1</v>
      </c>
      <c r="C60" s="494" t="s">
        <v>94</v>
      </c>
      <c r="D60" s="497">
        <v>22.99</v>
      </c>
      <c r="E60" s="365">
        <v>1</v>
      </c>
      <c r="F60" s="366">
        <v>9675707</v>
      </c>
      <c r="G60" s="452">
        <f>IF(ISBLANK(F60),"-",(F60/$D$50*$D$47*$B$68)*($B$57/$D$60))</f>
        <v>27.683744369959395</v>
      </c>
      <c r="H60" s="367">
        <f t="shared" ref="H60:H71" si="0">IF(ISBLANK(F60),"-",G60/$B$56)</f>
        <v>0.92279147899864655</v>
      </c>
      <c r="L60" s="295"/>
    </row>
    <row r="61" spans="1:12" s="14" customFormat="1" ht="26.25" customHeight="1" x14ac:dyDescent="0.4">
      <c r="A61" s="307" t="s">
        <v>95</v>
      </c>
      <c r="B61" s="308">
        <v>1</v>
      </c>
      <c r="C61" s="495"/>
      <c r="D61" s="498"/>
      <c r="E61" s="368">
        <v>2</v>
      </c>
      <c r="F61" s="320">
        <v>9657112</v>
      </c>
      <c r="G61" s="453">
        <f>IF(ISBLANK(F61),"-",(F61/$D$50*$D$47*$B$68)*($B$57/$D$60))</f>
        <v>27.63054110258479</v>
      </c>
      <c r="H61" s="369">
        <f t="shared" si="0"/>
        <v>0.92101803675282634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495"/>
      <c r="D62" s="498"/>
      <c r="E62" s="368">
        <v>3</v>
      </c>
      <c r="F62" s="370">
        <v>9654639</v>
      </c>
      <c r="G62" s="453">
        <f>IF(ISBLANK(F62),"-",(F62/$D$50*$D$47*$B$68)*($B$57/$D$60))</f>
        <v>27.623465454280542</v>
      </c>
      <c r="H62" s="369">
        <f t="shared" si="0"/>
        <v>0.92078218180935134</v>
      </c>
      <c r="L62" s="295"/>
    </row>
    <row r="63" spans="1:12" ht="27" customHeight="1" x14ac:dyDescent="0.4">
      <c r="A63" s="307" t="s">
        <v>97</v>
      </c>
      <c r="B63" s="308">
        <v>1</v>
      </c>
      <c r="C63" s="505"/>
      <c r="D63" s="499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494" t="s">
        <v>99</v>
      </c>
      <c r="D64" s="497">
        <v>21.92</v>
      </c>
      <c r="E64" s="365">
        <v>1</v>
      </c>
      <c r="F64" s="366"/>
      <c r="G64" s="454" t="str">
        <f>IF(ISBLANK(F64),"-",(F64/$D$50*$D$47*$B$68)*($B$57/$D$64))</f>
        <v>-</v>
      </c>
      <c r="H64" s="373" t="str">
        <f t="shared" si="0"/>
        <v>-</v>
      </c>
    </row>
    <row r="65" spans="1:8" ht="26.25" customHeight="1" x14ac:dyDescent="0.4">
      <c r="A65" s="307" t="s">
        <v>100</v>
      </c>
      <c r="B65" s="308">
        <v>1</v>
      </c>
      <c r="C65" s="495"/>
      <c r="D65" s="498"/>
      <c r="E65" s="368">
        <v>2</v>
      </c>
      <c r="F65" s="320"/>
      <c r="G65" s="455" t="str">
        <f>IF(ISBLANK(F65),"-",(F65/$D$50*$D$47*$B$68)*($B$57/$D$64))</f>
        <v>-</v>
      </c>
      <c r="H65" s="374" t="str">
        <f t="shared" si="0"/>
        <v>-</v>
      </c>
    </row>
    <row r="66" spans="1:8" ht="26.25" customHeight="1" x14ac:dyDescent="0.4">
      <c r="A66" s="307" t="s">
        <v>101</v>
      </c>
      <c r="B66" s="308">
        <v>1</v>
      </c>
      <c r="C66" s="495"/>
      <c r="D66" s="498"/>
      <c r="E66" s="368">
        <v>3</v>
      </c>
      <c r="F66" s="320"/>
      <c r="G66" s="455" t="str">
        <f>IF(ISBLANK(F66),"-",(F66/$D$50*$D$47*$B$68)*($B$57/$D$64))</f>
        <v>-</v>
      </c>
      <c r="H66" s="374" t="str">
        <f t="shared" si="0"/>
        <v>-</v>
      </c>
    </row>
    <row r="67" spans="1:8" ht="27" customHeight="1" x14ac:dyDescent="0.4">
      <c r="A67" s="307" t="s">
        <v>102</v>
      </c>
      <c r="B67" s="308">
        <v>1</v>
      </c>
      <c r="C67" s="505"/>
      <c r="D67" s="499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</v>
      </c>
      <c r="C68" s="494" t="s">
        <v>104</v>
      </c>
      <c r="D68" s="497">
        <v>23.71</v>
      </c>
      <c r="E68" s="365">
        <v>1</v>
      </c>
      <c r="F68" s="366">
        <v>9750891</v>
      </c>
      <c r="G68" s="454">
        <f>IF(ISBLANK(F68),"-",(F68/$D$50*$D$47*$B$68)*($B$57/$D$68))</f>
        <v>27.051655044172115</v>
      </c>
      <c r="H68" s="369">
        <f t="shared" si="0"/>
        <v>0.9017218348057372</v>
      </c>
    </row>
    <row r="69" spans="1:8" ht="27" customHeight="1" x14ac:dyDescent="0.4">
      <c r="A69" s="355" t="s">
        <v>105</v>
      </c>
      <c r="B69" s="377">
        <f>(D47*B68)/B56*B57</f>
        <v>23.375500000000002</v>
      </c>
      <c r="C69" s="495"/>
      <c r="D69" s="498"/>
      <c r="E69" s="368">
        <v>2</v>
      </c>
      <c r="F69" s="320">
        <v>9741069</v>
      </c>
      <c r="G69" s="455">
        <f>IF(ISBLANK(F69),"-",(F69/$D$50*$D$47*$B$68)*($B$57/$D$68))</f>
        <v>27.024406113192999</v>
      </c>
      <c r="H69" s="369">
        <f t="shared" si="0"/>
        <v>0.9008135371064333</v>
      </c>
    </row>
    <row r="70" spans="1:8" ht="26.25" customHeight="1" x14ac:dyDescent="0.4">
      <c r="A70" s="500" t="s">
        <v>78</v>
      </c>
      <c r="B70" s="501"/>
      <c r="C70" s="495"/>
      <c r="D70" s="498"/>
      <c r="E70" s="368">
        <v>3</v>
      </c>
      <c r="F70" s="320">
        <v>9735549</v>
      </c>
      <c r="G70" s="455">
        <f>IF(ISBLANK(F70),"-",(F70/$D$50*$D$47*$B$68)*($B$57/$D$68))</f>
        <v>27.009092114108832</v>
      </c>
      <c r="H70" s="369">
        <f t="shared" si="0"/>
        <v>0.90030307047029434</v>
      </c>
    </row>
    <row r="71" spans="1:8" ht="27" customHeight="1" x14ac:dyDescent="0.4">
      <c r="A71" s="502"/>
      <c r="B71" s="503"/>
      <c r="C71" s="496"/>
      <c r="D71" s="499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27.337150699716446</v>
      </c>
      <c r="H72" s="382">
        <f>AVERAGE(H60:H71)</f>
        <v>0.91123835665721487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1.2406269773187173E-2</v>
      </c>
      <c r="H73" s="457">
        <f>STDEV(H60:H71)/H72</f>
        <v>1.240626977318718E-2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6</v>
      </c>
      <c r="H74" s="386">
        <f>COUNT(H60:H71)</f>
        <v>6</v>
      </c>
    </row>
    <row r="76" spans="1:8" ht="26.25" customHeight="1" x14ac:dyDescent="0.4">
      <c r="A76" s="291" t="s">
        <v>106</v>
      </c>
      <c r="B76" s="387" t="s">
        <v>107</v>
      </c>
      <c r="C76" s="481" t="str">
        <f>B20</f>
        <v>Isoniazid</v>
      </c>
      <c r="D76" s="481"/>
      <c r="E76" s="388" t="s">
        <v>108</v>
      </c>
      <c r="F76" s="388"/>
      <c r="G76" s="389">
        <f>H72</f>
        <v>0.91123835665721487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4" t="str">
        <f>B26</f>
        <v>Isoniazid</v>
      </c>
      <c r="C79" s="504"/>
    </row>
    <row r="80" spans="1:8" ht="26.25" customHeight="1" x14ac:dyDescent="0.4">
      <c r="A80" s="292" t="s">
        <v>48</v>
      </c>
      <c r="B80" s="504" t="str">
        <f>B27</f>
        <v>I8-2</v>
      </c>
      <c r="C80" s="504"/>
    </row>
    <row r="81" spans="1:12" ht="27" customHeight="1" x14ac:dyDescent="0.4">
      <c r="A81" s="292" t="s">
        <v>6</v>
      </c>
      <c r="B81" s="391">
        <v>98.5</v>
      </c>
    </row>
    <row r="82" spans="1:12" s="14" customFormat="1" ht="27" customHeight="1" x14ac:dyDescent="0.4">
      <c r="A82" s="292" t="s">
        <v>49</v>
      </c>
      <c r="B82" s="294">
        <v>0</v>
      </c>
      <c r="C82" s="483" t="s">
        <v>50</v>
      </c>
      <c r="D82" s="484"/>
      <c r="E82" s="484"/>
      <c r="F82" s="484"/>
      <c r="G82" s="485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98.5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486" t="s">
        <v>111</v>
      </c>
      <c r="D84" s="487"/>
      <c r="E84" s="487"/>
      <c r="F84" s="487"/>
      <c r="G84" s="487"/>
      <c r="H84" s="488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486" t="s">
        <v>112</v>
      </c>
      <c r="D85" s="487"/>
      <c r="E85" s="487"/>
      <c r="F85" s="487"/>
      <c r="G85" s="487"/>
      <c r="H85" s="488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100</v>
      </c>
      <c r="D89" s="392" t="s">
        <v>59</v>
      </c>
      <c r="E89" s="393"/>
      <c r="F89" s="489" t="s">
        <v>60</v>
      </c>
      <c r="G89" s="490"/>
    </row>
    <row r="90" spans="1:12" ht="27" customHeight="1" x14ac:dyDescent="0.4">
      <c r="A90" s="307" t="s">
        <v>61</v>
      </c>
      <c r="B90" s="308">
        <v>10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25</v>
      </c>
      <c r="C91" s="396">
        <v>1</v>
      </c>
      <c r="D91" s="315">
        <v>11786223</v>
      </c>
      <c r="E91" s="316">
        <f>IF(ISBLANK(D91),"-",$D$101/$D$98*D91)</f>
        <v>11091683.935337065</v>
      </c>
      <c r="F91" s="315">
        <v>11368729</v>
      </c>
      <c r="G91" s="317">
        <f>IF(ISBLANK(F91),"-",$D$101/$F$98*F91)</f>
        <v>11158020.932706768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11731727</v>
      </c>
      <c r="E92" s="321">
        <f>IF(ISBLANK(D92),"-",$D$101/$D$98*D92)</f>
        <v>11040399.278009595</v>
      </c>
      <c r="F92" s="320">
        <v>11380952</v>
      </c>
      <c r="G92" s="322">
        <f>IF(ISBLANK(F92),"-",$D$101/$F$98*F92)</f>
        <v>11170017.391577454</v>
      </c>
      <c r="I92" s="491">
        <f>ABS((F96/D96*D95)-F95)/D95</f>
        <v>9.4994375048455051E-3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11737184</v>
      </c>
      <c r="E93" s="321">
        <f>IF(ISBLANK(D93),"-",$D$101/$D$98*D93)</f>
        <v>11045534.707674818</v>
      </c>
      <c r="F93" s="320">
        <v>11389367</v>
      </c>
      <c r="G93" s="322">
        <f>IF(ISBLANK(F93),"-",$D$101/$F$98*F93)</f>
        <v>11178276.427934881</v>
      </c>
      <c r="I93" s="491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11751711.333333334</v>
      </c>
      <c r="E95" s="331">
        <f>AVERAGE(E91:E94)</f>
        <v>11059205.973673826</v>
      </c>
      <c r="F95" s="401">
        <f>AVERAGE(F91:F94)</f>
        <v>11379682.666666666</v>
      </c>
      <c r="G95" s="402">
        <f>AVERAGE(G91:G94)</f>
        <v>11168771.584073035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8.99</v>
      </c>
      <c r="E96" s="323"/>
      <c r="F96" s="335">
        <v>8.6199999999999992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8.99</v>
      </c>
      <c r="E97" s="338"/>
      <c r="F97" s="337">
        <f>F96*$B$87</f>
        <v>8.6199999999999992</v>
      </c>
    </row>
    <row r="98" spans="1:10" ht="19.5" customHeight="1" x14ac:dyDescent="0.3">
      <c r="A98" s="307" t="s">
        <v>76</v>
      </c>
      <c r="B98" s="407">
        <f>(B97/B96)*(B95/B94)*(B93/B92)*(B91/B90)*B89</f>
        <v>250</v>
      </c>
      <c r="C98" s="405" t="s">
        <v>115</v>
      </c>
      <c r="D98" s="408">
        <f>D97*$B$83/100</f>
        <v>8.8551500000000001</v>
      </c>
      <c r="E98" s="341"/>
      <c r="F98" s="340">
        <f>F97*$B$83/100</f>
        <v>8.4906999999999986</v>
      </c>
    </row>
    <row r="99" spans="1:10" ht="19.5" customHeight="1" x14ac:dyDescent="0.3">
      <c r="A99" s="477" t="s">
        <v>78</v>
      </c>
      <c r="B99" s="492"/>
      <c r="C99" s="405" t="s">
        <v>116</v>
      </c>
      <c r="D99" s="409">
        <f>D98/$B$98</f>
        <v>3.5420600000000003E-2</v>
      </c>
      <c r="E99" s="341"/>
      <c r="F99" s="344">
        <f>F98/$B$98</f>
        <v>3.3962799999999994E-2</v>
      </c>
      <c r="G99" s="410"/>
      <c r="H99" s="333"/>
    </row>
    <row r="100" spans="1:10" ht="19.5" customHeight="1" x14ac:dyDescent="0.3">
      <c r="A100" s="479"/>
      <c r="B100" s="493"/>
      <c r="C100" s="405" t="s">
        <v>80</v>
      </c>
      <c r="D100" s="411">
        <f>$B$56/$B$116</f>
        <v>3.3333333333333333E-2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8.3333333333333339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8.3333333333333339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11113988.778873429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5.6635050331750045E-3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11494397</v>
      </c>
      <c r="E108" s="458">
        <f t="shared" ref="E108:E113" si="1">IF(ISBLANK(D108),"-",D108/$D$103*$D$100*$B$116)</f>
        <v>31.026836256618385</v>
      </c>
      <c r="F108" s="428">
        <f t="shared" ref="F108:F113" si="2">IF(ISBLANK(D108), "-", E108/$B$56)</f>
        <v>1.0342278752206129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10725134</v>
      </c>
      <c r="E109" s="459">
        <f t="shared" si="1"/>
        <v>28.950363942387803</v>
      </c>
      <c r="F109" s="429">
        <f t="shared" si="2"/>
        <v>0.96501213141292674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10732433</v>
      </c>
      <c r="E110" s="459">
        <f t="shared" si="1"/>
        <v>28.970066139713776</v>
      </c>
      <c r="F110" s="429">
        <f t="shared" si="2"/>
        <v>0.96566887132379253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10710987</v>
      </c>
      <c r="E111" s="459">
        <f t="shared" si="1"/>
        <v>28.912176932445281</v>
      </c>
      <c r="F111" s="429">
        <f t="shared" si="2"/>
        <v>0.96373923108150938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10744174</v>
      </c>
      <c r="E112" s="459">
        <f t="shared" si="1"/>
        <v>29.001758631672164</v>
      </c>
      <c r="F112" s="429">
        <f t="shared" si="2"/>
        <v>0.96672528772240551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10707725</v>
      </c>
      <c r="E113" s="460">
        <f t="shared" si="1"/>
        <v>28.903371812884064</v>
      </c>
      <c r="F113" s="432">
        <f t="shared" si="2"/>
        <v>0.96344572709613552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29.294095619286917</v>
      </c>
      <c r="F115" s="435">
        <f>AVERAGE(F108:F113)</f>
        <v>0.97646985397623043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2.9004134111909548E-2</v>
      </c>
      <c r="F116" s="437">
        <f>STDEV(F108:F113)/F115</f>
        <v>2.9004134111909562E-2</v>
      </c>
      <c r="I116" s="281"/>
    </row>
    <row r="117" spans="1:10" ht="27" customHeight="1" x14ac:dyDescent="0.4">
      <c r="A117" s="477" t="s">
        <v>78</v>
      </c>
      <c r="B117" s="478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79"/>
      <c r="B118" s="480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481" t="str">
        <f>B20</f>
        <v>Isoniazid</v>
      </c>
      <c r="D120" s="481"/>
      <c r="E120" s="388" t="s">
        <v>124</v>
      </c>
      <c r="F120" s="388"/>
      <c r="G120" s="389">
        <f>F115</f>
        <v>0.97646985397623043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82" t="s">
        <v>26</v>
      </c>
      <c r="C122" s="482"/>
      <c r="E122" s="394" t="s">
        <v>27</v>
      </c>
      <c r="F122" s="443"/>
      <c r="G122" s="482" t="s">
        <v>28</v>
      </c>
      <c r="H122" s="482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171875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Rifampicin</vt:lpstr>
      <vt:lpstr>Uniformity</vt:lpstr>
      <vt:lpstr>RIFAMPICIN</vt:lpstr>
      <vt:lpstr>SST Isoniaid</vt:lpstr>
      <vt:lpstr>ISONIAZID</vt:lpstr>
      <vt:lpstr>ISONIAZID!Print_Area</vt:lpstr>
      <vt:lpstr>RIFAMPICIN!Print_Area</vt:lpstr>
      <vt:lpstr>'SST Isoniaid'!Print_Area</vt:lpstr>
      <vt:lpstr>'SST Rifampicin'!Print_Area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2016-06-17T12:06:59Z</cp:lastPrinted>
  <dcterms:created xsi:type="dcterms:W3CDTF">2005-07-05T10:19:27Z</dcterms:created>
  <dcterms:modified xsi:type="dcterms:W3CDTF">2016-06-21T13:39:50Z</dcterms:modified>
</cp:coreProperties>
</file>