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4"/>
  </bookViews>
  <sheets>
    <sheet name="SST Rifampicin" sheetId="1" r:id="rId1"/>
    <sheet name="Rifampicin" sheetId="7" r:id="rId2"/>
    <sheet name="Uniformity" sheetId="2" r:id="rId3"/>
    <sheet name="SST Isoniazid" sheetId="5" r:id="rId4"/>
    <sheet name="Isoniazid" sheetId="8" r:id="rId5"/>
  </sheets>
  <definedNames>
    <definedName name="_xlnm.Print_Area" localSheetId="4">Isoniazid!$A$1:$I$124</definedName>
    <definedName name="_xlnm.Print_Area" localSheetId="1">Rifampicin!$A$1:$I$124</definedName>
    <definedName name="_xlnm.Print_Area" localSheetId="3">'SST Isoniazid'!$A$15:$G$63</definedName>
    <definedName name="_xlnm.Print_Area" localSheetId="0">'SST Rifampicin'!$A$15:$G$62</definedName>
    <definedName name="_xlnm.Print_Area" localSheetId="2">Uniformity!$A$12:$F$54</definedName>
  </definedNames>
  <calcPr calcId="144525"/>
</workbook>
</file>

<file path=xl/calcChain.xml><?xml version="1.0" encoding="utf-8"?>
<calcChain xmlns="http://schemas.openxmlformats.org/spreadsheetml/2006/main">
  <c r="B21" i="1" l="1"/>
  <c r="B42" i="5"/>
  <c r="B21" i="5"/>
  <c r="B42" i="1"/>
  <c r="C120" i="8" l="1"/>
  <c r="B116" i="8"/>
  <c r="D100" i="8"/>
  <c r="B98" i="8"/>
  <c r="D101" i="8" s="1"/>
  <c r="F95" i="8"/>
  <c r="D95" i="8"/>
  <c r="G94" i="8"/>
  <c r="E94" i="8"/>
  <c r="B87" i="8"/>
  <c r="F97" i="8" s="1"/>
  <c r="B81" i="8"/>
  <c r="B83" i="8" s="1"/>
  <c r="B80" i="8"/>
  <c r="B79" i="8"/>
  <c r="C76" i="8"/>
  <c r="H71" i="8"/>
  <c r="G71" i="8"/>
  <c r="B68" i="8"/>
  <c r="B69" i="8" s="1"/>
  <c r="H67" i="8"/>
  <c r="G67" i="8"/>
  <c r="H66" i="8"/>
  <c r="G66" i="8"/>
  <c r="G65" i="8"/>
  <c r="H65" i="8" s="1"/>
  <c r="G64" i="8"/>
  <c r="H64" i="8" s="1"/>
  <c r="H63" i="8"/>
  <c r="G63" i="8"/>
  <c r="B57" i="8"/>
  <c r="C56" i="8"/>
  <c r="B55" i="8"/>
  <c r="D48" i="8"/>
  <c r="D49" i="8" s="1"/>
  <c r="B45" i="8"/>
  <c r="F44" i="8"/>
  <c r="F45" i="8" s="1"/>
  <c r="D44" i="8"/>
  <c r="F42" i="8"/>
  <c r="D42" i="8"/>
  <c r="G41" i="8"/>
  <c r="E41" i="8"/>
  <c r="I39" i="8"/>
  <c r="B34" i="8"/>
  <c r="B30" i="8"/>
  <c r="D45" i="8" s="1"/>
  <c r="C120" i="7"/>
  <c r="B116" i="7"/>
  <c r="D100" i="7"/>
  <c r="B98" i="7"/>
  <c r="F95" i="7"/>
  <c r="I92" i="7" s="1"/>
  <c r="D95" i="7"/>
  <c r="G94" i="7"/>
  <c r="E94" i="7"/>
  <c r="B87" i="7"/>
  <c r="F97" i="7" s="1"/>
  <c r="B81" i="7"/>
  <c r="B83" i="7" s="1"/>
  <c r="B80" i="7"/>
  <c r="B79" i="7"/>
  <c r="C76" i="7"/>
  <c r="H71" i="7"/>
  <c r="G71" i="7"/>
  <c r="B68" i="7"/>
  <c r="H67" i="7"/>
  <c r="G67" i="7"/>
  <c r="H63" i="7"/>
  <c r="G63" i="7"/>
  <c r="B57" i="7"/>
  <c r="B69" i="7" s="1"/>
  <c r="C56" i="7"/>
  <c r="B55" i="7"/>
  <c r="B45" i="7"/>
  <c r="D48" i="7" s="1"/>
  <c r="F44" i="7"/>
  <c r="F45" i="7" s="1"/>
  <c r="F46" i="7" s="1"/>
  <c r="F42" i="7"/>
  <c r="I39" i="7" s="1"/>
  <c r="D42" i="7"/>
  <c r="G41" i="7"/>
  <c r="E41" i="7"/>
  <c r="B34" i="7"/>
  <c r="D44" i="7" s="1"/>
  <c r="D45" i="7" s="1"/>
  <c r="D46" i="7" s="1"/>
  <c r="B30" i="7"/>
  <c r="I92" i="8" l="1"/>
  <c r="F98" i="8"/>
  <c r="F99" i="8" s="1"/>
  <c r="E40" i="8"/>
  <c r="D46" i="8"/>
  <c r="E39" i="8"/>
  <c r="E38" i="8"/>
  <c r="G38" i="8"/>
  <c r="G42" i="8" s="1"/>
  <c r="G40" i="8"/>
  <c r="F46" i="8"/>
  <c r="D102" i="8"/>
  <c r="E91" i="8"/>
  <c r="G39" i="8"/>
  <c r="D97" i="8"/>
  <c r="D98" i="8" s="1"/>
  <c r="D99" i="8" s="1"/>
  <c r="D101" i="7"/>
  <c r="D102" i="7" s="1"/>
  <c r="F98" i="7"/>
  <c r="F99" i="7" s="1"/>
  <c r="D49" i="7"/>
  <c r="E40" i="7"/>
  <c r="G38" i="7"/>
  <c r="E39" i="7"/>
  <c r="E38" i="7"/>
  <c r="G39" i="7"/>
  <c r="G40" i="7"/>
  <c r="D97" i="7"/>
  <c r="D98" i="7" s="1"/>
  <c r="D99" i="7" s="1"/>
  <c r="G91" i="8" l="1"/>
  <c r="G93" i="8"/>
  <c r="D52" i="8"/>
  <c r="D50" i="8"/>
  <c r="E42" i="8"/>
  <c r="E93" i="8"/>
  <c r="G92" i="8"/>
  <c r="G95" i="8" s="1"/>
  <c r="E92" i="8"/>
  <c r="G92" i="7"/>
  <c r="G91" i="7"/>
  <c r="G93" i="7"/>
  <c r="D52" i="7"/>
  <c r="D50" i="7"/>
  <c r="E42" i="7"/>
  <c r="E93" i="7"/>
  <c r="G42" i="7"/>
  <c r="E91" i="7"/>
  <c r="E92" i="7"/>
  <c r="D103" i="8" l="1"/>
  <c r="E113" i="8" s="1"/>
  <c r="F113" i="8" s="1"/>
  <c r="D105" i="8"/>
  <c r="G68" i="8"/>
  <c r="H68" i="8" s="1"/>
  <c r="G70" i="8"/>
  <c r="H70" i="8" s="1"/>
  <c r="G69" i="8"/>
  <c r="H69" i="8" s="1"/>
  <c r="G62" i="8"/>
  <c r="H62" i="8" s="1"/>
  <c r="G60" i="8"/>
  <c r="G61" i="8"/>
  <c r="H61" i="8" s="1"/>
  <c r="D51" i="8"/>
  <c r="E95" i="8"/>
  <c r="G95" i="7"/>
  <c r="E95" i="7"/>
  <c r="D105" i="7"/>
  <c r="D103" i="7"/>
  <c r="G68" i="7"/>
  <c r="H68" i="7" s="1"/>
  <c r="G69" i="7"/>
  <c r="H69" i="7" s="1"/>
  <c r="G66" i="7"/>
  <c r="H66" i="7" s="1"/>
  <c r="G64" i="7"/>
  <c r="H64" i="7" s="1"/>
  <c r="G62" i="7"/>
  <c r="H62" i="7" s="1"/>
  <c r="G60" i="7"/>
  <c r="G70" i="7"/>
  <c r="H70" i="7" s="1"/>
  <c r="D51" i="7"/>
  <c r="G61" i="7"/>
  <c r="H61" i="7" s="1"/>
  <c r="G65" i="7"/>
  <c r="H65" i="7" s="1"/>
  <c r="D104" i="8" l="1"/>
  <c r="E108" i="8"/>
  <c r="E109" i="8"/>
  <c r="F109" i="8" s="1"/>
  <c r="E110" i="8"/>
  <c r="F110" i="8" s="1"/>
  <c r="E111" i="8"/>
  <c r="F111" i="8" s="1"/>
  <c r="E112" i="8"/>
  <c r="F112" i="8" s="1"/>
  <c r="H60" i="8"/>
  <c r="G74" i="8"/>
  <c r="G72" i="8"/>
  <c r="G73" i="8" s="1"/>
  <c r="F108" i="8"/>
  <c r="E112" i="7"/>
  <c r="F112" i="7" s="1"/>
  <c r="E110" i="7"/>
  <c r="F110" i="7" s="1"/>
  <c r="E108" i="7"/>
  <c r="E113" i="7"/>
  <c r="F113" i="7" s="1"/>
  <c r="E111" i="7"/>
  <c r="F111" i="7" s="1"/>
  <c r="E109" i="7"/>
  <c r="F109" i="7" s="1"/>
  <c r="D104" i="7"/>
  <c r="H60" i="7"/>
  <c r="G74" i="7"/>
  <c r="G72" i="7"/>
  <c r="G73" i="7" s="1"/>
  <c r="E117" i="8" l="1"/>
  <c r="E115" i="8"/>
  <c r="E116" i="8" s="1"/>
  <c r="F117" i="8"/>
  <c r="F115" i="8"/>
  <c r="H74" i="8"/>
  <c r="H72" i="8"/>
  <c r="H74" i="7"/>
  <c r="H72" i="7"/>
  <c r="E115" i="7"/>
  <c r="E116" i="7" s="1"/>
  <c r="E117" i="7"/>
  <c r="F108" i="7"/>
  <c r="G76" i="8" l="1"/>
  <c r="H73" i="8"/>
  <c r="G120" i="8"/>
  <c r="F116" i="8"/>
  <c r="G76" i="7"/>
  <c r="H73" i="7"/>
  <c r="F117" i="7"/>
  <c r="F115" i="7"/>
  <c r="G120" i="7" l="1"/>
  <c r="F116" i="7"/>
  <c r="B53" i="5" l="1"/>
  <c r="E51" i="5"/>
  <c r="D51" i="5"/>
  <c r="C51" i="5"/>
  <c r="B51" i="5"/>
  <c r="B52" i="5" s="1"/>
  <c r="B32" i="5"/>
  <c r="B31" i="5"/>
  <c r="C46" i="2" l="1"/>
  <c r="D50" i="2" s="1"/>
  <c r="C45" i="2"/>
  <c r="D39" i="2"/>
  <c r="D37" i="2"/>
  <c r="D35" i="2"/>
  <c r="D31" i="2"/>
  <c r="D29" i="2"/>
  <c r="D27" i="2"/>
  <c r="C19" i="2"/>
  <c r="B53" i="1"/>
  <c r="E51" i="1"/>
  <c r="D51" i="1"/>
  <c r="C51" i="1"/>
  <c r="B51" i="1"/>
  <c r="B52" i="1" s="1"/>
  <c r="B32" i="1"/>
  <c r="B31" i="1"/>
  <c r="D25" i="2" l="1"/>
  <c r="D33" i="2"/>
  <c r="D41" i="2"/>
  <c r="C49" i="2"/>
  <c r="D43" i="2"/>
  <c r="D24" i="2"/>
  <c r="D28" i="2"/>
  <c r="D32" i="2"/>
  <c r="D36" i="2"/>
  <c r="D40" i="2"/>
  <c r="D49" i="2"/>
  <c r="C50" i="2"/>
  <c r="D26" i="2"/>
  <c r="D30" i="2"/>
  <c r="D34" i="2"/>
  <c r="D38" i="2"/>
  <c r="D42" i="2"/>
  <c r="B49" i="2"/>
</calcChain>
</file>

<file path=xl/sharedStrings.xml><?xml version="1.0" encoding="utf-8"?>
<sst xmlns="http://schemas.openxmlformats.org/spreadsheetml/2006/main" count="442" uniqueCount="133">
  <si>
    <t>HPLC System Suitability Report</t>
  </si>
  <si>
    <t>Analysis Data</t>
  </si>
  <si>
    <t>Assay</t>
  </si>
  <si>
    <t>Sample(s)</t>
  </si>
  <si>
    <t>Reference Substance:</t>
  </si>
  <si>
    <t>RIFAMPICIN 60MG, ISONIAZID 30MG TABLETS</t>
  </si>
  <si>
    <t>% age Purity:</t>
  </si>
  <si>
    <t>NDQD2016061111</t>
  </si>
  <si>
    <t>Weight (mg):</t>
  </si>
  <si>
    <t>Rifampicin, Isoniazid</t>
  </si>
  <si>
    <t>Standard Conc (mg/mL):</t>
  </si>
  <si>
    <t>Each Tablet contains: Rifampicin 60mg, Isoniazid 30mg</t>
  </si>
  <si>
    <t>2016-06-10 07:14:27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</si>
  <si>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</si>
  <si>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</si>
  <si>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</si>
  <si>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</si>
  <si>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</si>
  <si>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</si>
  <si>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</si>
  <si>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</si>
  <si>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</si>
  <si>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</si>
  <si>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</si>
  <si>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</si>
  <si>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</si>
  <si>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</si>
  <si>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</si>
  <si>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</si>
  <si>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</si>
  <si>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</si>
  <si>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</si>
  <si>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</si>
  <si>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</si>
  <si>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</si>
  <si>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</si>
  <si>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</si>
  <si>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</si>
  <si>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</si>
  <si>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</si>
  <si>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</si>
  <si>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</si>
  <si>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</si>
  <si>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</si>
  <si>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</si>
  <si>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</si>
  <si>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</si>
  <si>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</si>
  <si>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</si>
  <si>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</si>
  <si>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</si>
  <si>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</si>
  <si>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</si>
  <si>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</si>
  <si>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</si>
  <si>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</si>
  <si>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</si>
  <si>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</si>
  <si>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</si>
  <si>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</si>
  <si>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</si>
  <si>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</si>
  <si>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</si>
  <si>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</si>
  <si>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</si>
  <si>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</si>
  <si>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</si>
  <si>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</si>
  <si>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</si>
  <si>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</si>
  <si>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</si>
  <si>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</si>
  <si>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</si>
  <si>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</si>
  <si>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</si>
  <si>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</si>
  <si>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</si>
  <si>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</si>
  <si>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</si>
  <si>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</si>
  <si>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</si>
  <si>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</si>
  <si>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</si>
  <si>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</si>
  <si>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</si>
  <si>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</si>
  <si>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</si>
  <si>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</si>
  <si>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</si>
  <si>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</si>
  <si>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</si>
  <si>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</si>
  <si>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</si>
  <si>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</si>
  <si>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</si>
  <si>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</si>
  <si>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</si>
  <si>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</si>
  <si>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</si>
  <si>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</si>
  <si>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</si>
  <si>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</si>
  <si>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</si>
  <si>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</si>
  <si>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</si>
  <si>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</si>
  <si>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</si>
  <si>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</si>
  <si>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</si>
  <si>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</si>
  <si>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</si>
  <si>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</si>
  <si>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</si>
  <si>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</si>
  <si>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</si>
  <si>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</si>
  <si>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</si>
  <si>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</si>
  <si>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</si>
  <si>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</si>
  <si>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</si>
  <si>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</si>
  <si>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</si>
  <si>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</si>
  <si>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</si>
  <si>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Rifampicin</t>
  </si>
  <si>
    <t>R5-1</t>
  </si>
  <si>
    <t xml:space="preserve"> Isoniazid</t>
  </si>
  <si>
    <t>Isoniazid</t>
  </si>
  <si>
    <t>I8-2</t>
  </si>
  <si>
    <t>RUTTO/JOYFRIDA</t>
  </si>
  <si>
    <t>17/06/2016</t>
  </si>
  <si>
    <t>Rifampin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</si>
</sst>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10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10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43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6" workbookViewId="0">
      <selection activeCell="E28" sqref="E2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63" t="s">
        <v>0</v>
      </c>
      <c r="B15" s="263"/>
      <c r="C15" s="263"/>
      <c r="D15" s="263"/>
      <c r="E15" s="2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125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99.6</v>
      </c>
      <c r="C19" s="10"/>
      <c r="D19" s="10"/>
      <c r="E19" s="10"/>
    </row>
    <row r="20" spans="1:6" ht="16.5" customHeight="1" x14ac:dyDescent="0.3">
      <c r="A20" s="7" t="s">
        <v>8</v>
      </c>
      <c r="B20" s="12">
        <v>14.51</v>
      </c>
      <c r="C20" s="10"/>
      <c r="D20" s="10"/>
      <c r="E20" s="10"/>
    </row>
    <row r="21" spans="1:6" ht="16.5" customHeight="1" x14ac:dyDescent="0.3">
      <c r="A21" s="7" t="s">
        <v>10</v>
      </c>
      <c r="B21" s="13">
        <f>14.51/50*5/25</f>
        <v>5.8040000000000001E-2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18163592</v>
      </c>
      <c r="C24" s="18">
        <v>63960.4</v>
      </c>
      <c r="D24" s="19">
        <v>0.9</v>
      </c>
      <c r="E24" s="20">
        <v>7</v>
      </c>
    </row>
    <row r="25" spans="1:6" ht="16.5" customHeight="1" x14ac:dyDescent="0.3">
      <c r="A25" s="17">
        <v>2</v>
      </c>
      <c r="B25" s="18">
        <v>18233078</v>
      </c>
      <c r="C25" s="18">
        <v>64168</v>
      </c>
      <c r="D25" s="19">
        <v>0.9</v>
      </c>
      <c r="E25" s="19">
        <v>7.7</v>
      </c>
    </row>
    <row r="26" spans="1:6" ht="16.5" customHeight="1" x14ac:dyDescent="0.3">
      <c r="A26" s="17">
        <v>3</v>
      </c>
      <c r="B26" s="18">
        <v>18243294</v>
      </c>
      <c r="C26" s="18">
        <v>63956.7</v>
      </c>
      <c r="D26" s="19">
        <v>0.9</v>
      </c>
      <c r="E26" s="19">
        <v>7.7</v>
      </c>
    </row>
    <row r="27" spans="1:6" ht="16.5" customHeight="1" x14ac:dyDescent="0.3">
      <c r="A27" s="17">
        <v>4</v>
      </c>
      <c r="B27" s="18">
        <v>18248345</v>
      </c>
      <c r="C27" s="18">
        <v>63663.3</v>
      </c>
      <c r="D27" s="19">
        <v>1</v>
      </c>
      <c r="E27" s="19">
        <v>7.7</v>
      </c>
    </row>
    <row r="28" spans="1:6" ht="16.5" customHeight="1" x14ac:dyDescent="0.3">
      <c r="A28" s="17">
        <v>5</v>
      </c>
      <c r="B28" s="18">
        <v>18234425</v>
      </c>
      <c r="C28" s="18">
        <v>63950.400000000001</v>
      </c>
      <c r="D28" s="19">
        <v>1</v>
      </c>
      <c r="E28" s="19">
        <v>7.7</v>
      </c>
    </row>
    <row r="29" spans="1:6" ht="16.5" customHeight="1" x14ac:dyDescent="0.3">
      <c r="A29" s="17">
        <v>6</v>
      </c>
      <c r="B29" s="21">
        <v>18239906</v>
      </c>
      <c r="C29" s="21">
        <v>63667.9</v>
      </c>
      <c r="D29" s="22">
        <v>1</v>
      </c>
      <c r="E29" s="22">
        <v>7.7</v>
      </c>
    </row>
    <row r="30" spans="1:6" ht="16.5" customHeight="1" x14ac:dyDescent="0.3">
      <c r="A30" s="23" t="s">
        <v>18</v>
      </c>
      <c r="B30" s="24">
        <v>18227106.666666668</v>
      </c>
      <c r="C30" s="25">
        <v>63894.450000000004</v>
      </c>
      <c r="D30" s="26">
        <v>0.95000000000000007</v>
      </c>
      <c r="E30" s="26">
        <v>7.583333333333333</v>
      </c>
    </row>
    <row r="31" spans="1:6" ht="16.5" customHeight="1" x14ac:dyDescent="0.3">
      <c r="A31" s="27" t="s">
        <v>19</v>
      </c>
      <c r="B31" s="28">
        <f>(STDEV(B24:B29)/B30)</f>
        <v>1.7349741182692898E-3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132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99.6</v>
      </c>
      <c r="C40" s="10"/>
      <c r="D40" s="10"/>
      <c r="E40" s="10"/>
    </row>
    <row r="41" spans="1:6" ht="16.5" customHeight="1" x14ac:dyDescent="0.3">
      <c r="A41" s="7" t="s">
        <v>8</v>
      </c>
      <c r="B41" s="12">
        <v>8.99</v>
      </c>
      <c r="C41" s="10"/>
      <c r="D41" s="10"/>
      <c r="E41" s="10"/>
    </row>
    <row r="42" spans="1:6" ht="16.5" customHeight="1" x14ac:dyDescent="0.3">
      <c r="A42" s="7" t="s">
        <v>10</v>
      </c>
      <c r="B42" s="13">
        <f>8.99/100</f>
        <v>8.9900000000000008E-2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47114377</v>
      </c>
      <c r="C45" s="18">
        <v>73369.66</v>
      </c>
      <c r="D45" s="19">
        <v>0.99</v>
      </c>
      <c r="E45" s="20">
        <v>7.42</v>
      </c>
    </row>
    <row r="46" spans="1:6" ht="16.5" customHeight="1" x14ac:dyDescent="0.3">
      <c r="A46" s="17">
        <v>2</v>
      </c>
      <c r="B46" s="18">
        <v>47107014</v>
      </c>
      <c r="C46" s="18">
        <v>73824</v>
      </c>
      <c r="D46" s="19">
        <v>0.99</v>
      </c>
      <c r="E46" s="19">
        <v>7.42</v>
      </c>
    </row>
    <row r="47" spans="1:6" ht="16.5" customHeight="1" x14ac:dyDescent="0.3">
      <c r="A47" s="17">
        <v>3</v>
      </c>
      <c r="B47" s="18">
        <v>47140956</v>
      </c>
      <c r="C47" s="18">
        <v>73547.06</v>
      </c>
      <c r="D47" s="19">
        <v>1.01</v>
      </c>
      <c r="E47" s="19">
        <v>7.42</v>
      </c>
    </row>
    <row r="48" spans="1:6" ht="16.5" customHeight="1" x14ac:dyDescent="0.3">
      <c r="A48" s="17">
        <v>4</v>
      </c>
      <c r="B48" s="18">
        <v>47060782</v>
      </c>
      <c r="C48" s="18">
        <v>73867.710000000006</v>
      </c>
      <c r="D48" s="19">
        <v>1.03</v>
      </c>
      <c r="E48" s="19">
        <v>7.42</v>
      </c>
    </row>
    <row r="49" spans="1:7" ht="16.5" customHeight="1" x14ac:dyDescent="0.3">
      <c r="A49" s="17">
        <v>5</v>
      </c>
      <c r="B49" s="18">
        <v>47067596</v>
      </c>
      <c r="C49" s="18">
        <v>73690.820000000007</v>
      </c>
      <c r="D49" s="19">
        <v>1</v>
      </c>
      <c r="E49" s="19">
        <v>7.42</v>
      </c>
    </row>
    <row r="50" spans="1:7" ht="16.5" customHeight="1" x14ac:dyDescent="0.3">
      <c r="A50" s="17">
        <v>6</v>
      </c>
      <c r="B50" s="21">
        <v>47266188</v>
      </c>
      <c r="C50" s="21">
        <v>74012.02</v>
      </c>
      <c r="D50" s="22">
        <v>1.05</v>
      </c>
      <c r="E50" s="22">
        <v>7.42</v>
      </c>
    </row>
    <row r="51" spans="1:7" ht="16.5" customHeight="1" x14ac:dyDescent="0.3">
      <c r="A51" s="23" t="s">
        <v>18</v>
      </c>
      <c r="B51" s="24">
        <f>AVERAGE(B45:B50)</f>
        <v>47126152.166666664</v>
      </c>
      <c r="C51" s="25">
        <f>AVERAGE(C45:C50)</f>
        <v>73718.544999999998</v>
      </c>
      <c r="D51" s="26">
        <f>AVERAGE(D45:D50)</f>
        <v>1.0116666666666667</v>
      </c>
      <c r="E51" s="26">
        <f>AVERAGE(E45:E50)</f>
        <v>7.4200000000000008</v>
      </c>
    </row>
    <row r="52" spans="1:7" ht="16.5" customHeight="1" x14ac:dyDescent="0.3">
      <c r="A52" s="27" t="s">
        <v>19</v>
      </c>
      <c r="B52" s="28">
        <f>(STDEV(B45:B50)/B51)</f>
        <v>1.5889585046052238E-3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64" t="s">
        <v>26</v>
      </c>
      <c r="C59" s="26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130</v>
      </c>
      <c r="C60" s="48"/>
      <c r="E60" s="48" t="s">
        <v>131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28" zoomScale="50" zoomScaleNormal="40" zoomScalePageLayoutView="50" workbookViewId="0">
      <selection activeCell="B41" sqref="B41"/>
    </sheetView>
  </sheetViews>
  <sheetFormatPr defaultColWidth="9.140625" defaultRowHeight="13.5" x14ac:dyDescent="0.25"/>
  <cols>
    <col min="1" max="1" width="55.42578125" style="206" customWidth="1"/>
    <col min="2" max="2" width="33.7109375" style="206" customWidth="1"/>
    <col min="3" max="3" width="42.28515625" style="206" customWidth="1"/>
    <col min="4" max="4" width="30.5703125" style="206" customWidth="1"/>
    <col min="5" max="5" width="39.85546875" style="206" customWidth="1"/>
    <col min="6" max="6" width="30.7109375" style="206" customWidth="1"/>
    <col min="7" max="7" width="39.85546875" style="206" customWidth="1"/>
    <col min="8" max="8" width="30" style="206" customWidth="1"/>
    <col min="9" max="9" width="30.28515625" style="206" hidden="1" customWidth="1"/>
    <col min="10" max="10" width="30.42578125" style="206" customWidth="1"/>
    <col min="11" max="11" width="21.28515625" style="206" customWidth="1"/>
    <col min="12" max="12" width="9.140625" style="206"/>
    <col min="13" max="16384" width="9.140625" style="44"/>
  </cols>
  <sheetData>
    <row r="1" spans="1:9" ht="18.75" customHeight="1" x14ac:dyDescent="0.25">
      <c r="A1" s="295" t="s">
        <v>45</v>
      </c>
      <c r="B1" s="295"/>
      <c r="C1" s="295"/>
      <c r="D1" s="295"/>
      <c r="E1" s="295"/>
      <c r="F1" s="295"/>
      <c r="G1" s="295"/>
      <c r="H1" s="295"/>
      <c r="I1" s="295"/>
    </row>
    <row r="2" spans="1:9" ht="18.75" customHeight="1" x14ac:dyDescent="0.25">
      <c r="A2" s="295"/>
      <c r="B2" s="295"/>
      <c r="C2" s="295"/>
      <c r="D2" s="295"/>
      <c r="E2" s="295"/>
      <c r="F2" s="295"/>
      <c r="G2" s="295"/>
      <c r="H2" s="295"/>
      <c r="I2" s="295"/>
    </row>
    <row r="3" spans="1:9" ht="18.75" customHeight="1" x14ac:dyDescent="0.25">
      <c r="A3" s="295"/>
      <c r="B3" s="295"/>
      <c r="C3" s="295"/>
      <c r="D3" s="295"/>
      <c r="E3" s="295"/>
      <c r="F3" s="295"/>
      <c r="G3" s="295"/>
      <c r="H3" s="295"/>
      <c r="I3" s="295"/>
    </row>
    <row r="4" spans="1:9" ht="18.75" customHeight="1" x14ac:dyDescent="0.25">
      <c r="A4" s="295"/>
      <c r="B4" s="295"/>
      <c r="C4" s="295"/>
      <c r="D4" s="295"/>
      <c r="E4" s="295"/>
      <c r="F4" s="295"/>
      <c r="G4" s="295"/>
      <c r="H4" s="295"/>
      <c r="I4" s="295"/>
    </row>
    <row r="5" spans="1:9" ht="18.75" customHeight="1" x14ac:dyDescent="0.25">
      <c r="A5" s="295"/>
      <c r="B5" s="295"/>
      <c r="C5" s="295"/>
      <c r="D5" s="295"/>
      <c r="E5" s="295"/>
      <c r="F5" s="295"/>
      <c r="G5" s="295"/>
      <c r="H5" s="295"/>
      <c r="I5" s="295"/>
    </row>
    <row r="6" spans="1:9" ht="18.75" customHeight="1" x14ac:dyDescent="0.25">
      <c r="A6" s="295"/>
      <c r="B6" s="295"/>
      <c r="C6" s="295"/>
      <c r="D6" s="295"/>
      <c r="E6" s="295"/>
      <c r="F6" s="295"/>
      <c r="G6" s="295"/>
      <c r="H6" s="295"/>
      <c r="I6" s="295"/>
    </row>
    <row r="7" spans="1:9" ht="18.75" customHeight="1" x14ac:dyDescent="0.25">
      <c r="A7" s="295"/>
      <c r="B7" s="295"/>
      <c r="C7" s="295"/>
      <c r="D7" s="295"/>
      <c r="E7" s="295"/>
      <c r="F7" s="295"/>
      <c r="G7" s="295"/>
      <c r="H7" s="295"/>
      <c r="I7" s="295"/>
    </row>
    <row r="8" spans="1:9" x14ac:dyDescent="0.25">
      <c r="A8" s="296" t="s">
        <v>46</v>
      </c>
      <c r="B8" s="296"/>
      <c r="C8" s="296"/>
      <c r="D8" s="296"/>
      <c r="E8" s="296"/>
      <c r="F8" s="296"/>
      <c r="G8" s="296"/>
      <c r="H8" s="296"/>
      <c r="I8" s="296"/>
    </row>
    <row r="9" spans="1:9" x14ac:dyDescent="0.25">
      <c r="A9" s="296"/>
      <c r="B9" s="296"/>
      <c r="C9" s="296"/>
      <c r="D9" s="296"/>
      <c r="E9" s="296"/>
      <c r="F9" s="296"/>
      <c r="G9" s="296"/>
      <c r="H9" s="296"/>
      <c r="I9" s="296"/>
    </row>
    <row r="10" spans="1:9" x14ac:dyDescent="0.25">
      <c r="A10" s="296"/>
      <c r="B10" s="296"/>
      <c r="C10" s="296"/>
      <c r="D10" s="296"/>
      <c r="E10" s="296"/>
      <c r="F10" s="296"/>
      <c r="G10" s="296"/>
      <c r="H10" s="296"/>
      <c r="I10" s="296"/>
    </row>
    <row r="11" spans="1:9" x14ac:dyDescent="0.25">
      <c r="A11" s="296"/>
      <c r="B11" s="296"/>
      <c r="C11" s="296"/>
      <c r="D11" s="296"/>
      <c r="E11" s="296"/>
      <c r="F11" s="296"/>
      <c r="G11" s="296"/>
      <c r="H11" s="296"/>
      <c r="I11" s="296"/>
    </row>
    <row r="12" spans="1:9" x14ac:dyDescent="0.25">
      <c r="A12" s="296"/>
      <c r="B12" s="296"/>
      <c r="C12" s="296"/>
      <c r="D12" s="296"/>
      <c r="E12" s="296"/>
      <c r="F12" s="296"/>
      <c r="G12" s="296"/>
      <c r="H12" s="296"/>
      <c r="I12" s="296"/>
    </row>
    <row r="13" spans="1:9" x14ac:dyDescent="0.25">
      <c r="A13" s="296"/>
      <c r="B13" s="296"/>
      <c r="C13" s="296"/>
      <c r="D13" s="296"/>
      <c r="E13" s="296"/>
      <c r="F13" s="296"/>
      <c r="G13" s="296"/>
      <c r="H13" s="296"/>
      <c r="I13" s="296"/>
    </row>
    <row r="14" spans="1:9" x14ac:dyDescent="0.25">
      <c r="A14" s="296"/>
      <c r="B14" s="296"/>
      <c r="C14" s="296"/>
      <c r="D14" s="296"/>
      <c r="E14" s="296"/>
      <c r="F14" s="296"/>
      <c r="G14" s="296"/>
      <c r="H14" s="296"/>
      <c r="I14" s="296"/>
    </row>
    <row r="15" spans="1:9" ht="19.5" customHeight="1" thickBot="1" x14ac:dyDescent="0.35">
      <c r="A15" s="188"/>
    </row>
    <row r="16" spans="1:9" ht="19.5" customHeight="1" thickBot="1" x14ac:dyDescent="0.35">
      <c r="A16" s="297" t="s">
        <v>31</v>
      </c>
      <c r="B16" s="298"/>
      <c r="C16" s="298"/>
      <c r="D16" s="298"/>
      <c r="E16" s="298"/>
      <c r="F16" s="298"/>
      <c r="G16" s="298"/>
      <c r="H16" s="299"/>
    </row>
    <row r="17" spans="1:14" ht="20.25" customHeight="1" x14ac:dyDescent="0.25">
      <c r="A17" s="300" t="s">
        <v>47</v>
      </c>
      <c r="B17" s="300"/>
      <c r="C17" s="300"/>
      <c r="D17" s="300"/>
      <c r="E17" s="300"/>
      <c r="F17" s="300"/>
      <c r="G17" s="300"/>
      <c r="H17" s="300"/>
    </row>
    <row r="18" spans="1:14" ht="26.25" customHeight="1" x14ac:dyDescent="0.4">
      <c r="A18" s="98" t="s">
        <v>33</v>
      </c>
      <c r="B18" s="301" t="s">
        <v>5</v>
      </c>
      <c r="C18" s="301"/>
      <c r="D18" s="242"/>
      <c r="E18" s="99"/>
      <c r="F18" s="255"/>
      <c r="G18" s="255"/>
      <c r="H18" s="255"/>
    </row>
    <row r="19" spans="1:14" ht="26.25" customHeight="1" x14ac:dyDescent="0.4">
      <c r="A19" s="98" t="s">
        <v>34</v>
      </c>
      <c r="B19" s="257" t="s">
        <v>7</v>
      </c>
      <c r="C19" s="255">
        <v>29</v>
      </c>
      <c r="D19" s="255"/>
      <c r="E19" s="255"/>
      <c r="F19" s="255"/>
      <c r="G19" s="255"/>
      <c r="H19" s="255"/>
    </row>
    <row r="20" spans="1:14" ht="26.25" customHeight="1" x14ac:dyDescent="0.4">
      <c r="A20" s="98" t="s">
        <v>35</v>
      </c>
      <c r="B20" s="302" t="s">
        <v>125</v>
      </c>
      <c r="C20" s="302"/>
      <c r="D20" s="255"/>
      <c r="E20" s="255"/>
      <c r="F20" s="255"/>
      <c r="G20" s="255"/>
      <c r="H20" s="255"/>
    </row>
    <row r="21" spans="1:14" ht="26.25" customHeight="1" x14ac:dyDescent="0.4">
      <c r="A21" s="98" t="s">
        <v>36</v>
      </c>
      <c r="B21" s="302" t="s">
        <v>11</v>
      </c>
      <c r="C21" s="302"/>
      <c r="D21" s="302"/>
      <c r="E21" s="302"/>
      <c r="F21" s="302"/>
      <c r="G21" s="302"/>
      <c r="H21" s="302"/>
      <c r="I21" s="100"/>
    </row>
    <row r="22" spans="1:14" ht="26.25" customHeight="1" x14ac:dyDescent="0.4">
      <c r="A22" s="98" t="s">
        <v>37</v>
      </c>
      <c r="B22" s="101">
        <v>42533</v>
      </c>
      <c r="C22" s="255"/>
      <c r="D22" s="255"/>
      <c r="E22" s="255"/>
      <c r="F22" s="255"/>
      <c r="G22" s="255"/>
      <c r="H22" s="255"/>
    </row>
    <row r="23" spans="1:14" ht="26.25" customHeight="1" x14ac:dyDescent="0.4">
      <c r="A23" s="98" t="s">
        <v>38</v>
      </c>
      <c r="B23" s="101">
        <v>42533</v>
      </c>
      <c r="C23" s="255"/>
      <c r="D23" s="255"/>
      <c r="E23" s="255"/>
      <c r="F23" s="255"/>
      <c r="G23" s="255"/>
      <c r="H23" s="255"/>
    </row>
    <row r="24" spans="1:14" ht="18.75" x14ac:dyDescent="0.3">
      <c r="A24" s="98"/>
      <c r="B24" s="102"/>
    </row>
    <row r="25" spans="1:14" ht="18.75" x14ac:dyDescent="0.3">
      <c r="A25" s="103" t="s">
        <v>1</v>
      </c>
      <c r="B25" s="102"/>
    </row>
    <row r="26" spans="1:14" ht="26.25" customHeight="1" x14ac:dyDescent="0.4">
      <c r="A26" s="237" t="s">
        <v>4</v>
      </c>
      <c r="B26" s="301" t="s">
        <v>125</v>
      </c>
      <c r="C26" s="301"/>
    </row>
    <row r="27" spans="1:14" ht="26.25" customHeight="1" x14ac:dyDescent="0.4">
      <c r="A27" s="195" t="s">
        <v>48</v>
      </c>
      <c r="B27" s="303" t="s">
        <v>126</v>
      </c>
      <c r="C27" s="303"/>
    </row>
    <row r="28" spans="1:14" ht="27" customHeight="1" thickBot="1" x14ac:dyDescent="0.45">
      <c r="A28" s="195" t="s">
        <v>6</v>
      </c>
      <c r="B28" s="190">
        <v>99.6</v>
      </c>
    </row>
    <row r="29" spans="1:14" s="16" customFormat="1" ht="27" customHeight="1" thickBot="1" x14ac:dyDescent="0.45">
      <c r="A29" s="195" t="s">
        <v>49</v>
      </c>
      <c r="B29" s="104">
        <v>0</v>
      </c>
      <c r="C29" s="284" t="s">
        <v>50</v>
      </c>
      <c r="D29" s="285"/>
      <c r="E29" s="285"/>
      <c r="F29" s="285"/>
      <c r="G29" s="286"/>
      <c r="I29" s="105"/>
      <c r="J29" s="105"/>
      <c r="K29" s="105"/>
      <c r="L29" s="105"/>
    </row>
    <row r="30" spans="1:14" s="16" customFormat="1" ht="19.5" customHeight="1" thickBot="1" x14ac:dyDescent="0.35">
      <c r="A30" s="195" t="s">
        <v>51</v>
      </c>
      <c r="B30" s="260">
        <f>B28-B29</f>
        <v>99.6</v>
      </c>
      <c r="C30" s="106"/>
      <c r="D30" s="106"/>
      <c r="E30" s="106"/>
      <c r="F30" s="106"/>
      <c r="G30" s="107"/>
      <c r="I30" s="105"/>
      <c r="J30" s="105"/>
      <c r="K30" s="105"/>
      <c r="L30" s="105"/>
    </row>
    <row r="31" spans="1:14" s="16" customFormat="1" ht="27" customHeight="1" thickBot="1" x14ac:dyDescent="0.45">
      <c r="A31" s="195" t="s">
        <v>52</v>
      </c>
      <c r="B31" s="108">
        <v>1</v>
      </c>
      <c r="C31" s="287" t="s">
        <v>53</v>
      </c>
      <c r="D31" s="288"/>
      <c r="E31" s="288"/>
      <c r="F31" s="288"/>
      <c r="G31" s="288"/>
      <c r="H31" s="289"/>
      <c r="I31" s="105"/>
      <c r="J31" s="105"/>
      <c r="K31" s="105"/>
      <c r="L31" s="105"/>
    </row>
    <row r="32" spans="1:14" s="16" customFormat="1" ht="27" customHeight="1" thickBot="1" x14ac:dyDescent="0.45">
      <c r="A32" s="195" t="s">
        <v>54</v>
      </c>
      <c r="B32" s="108">
        <v>1</v>
      </c>
      <c r="C32" s="287" t="s">
        <v>55</v>
      </c>
      <c r="D32" s="288"/>
      <c r="E32" s="288"/>
      <c r="F32" s="288"/>
      <c r="G32" s="288"/>
      <c r="H32" s="289"/>
      <c r="I32" s="105"/>
      <c r="J32" s="105"/>
      <c r="K32" s="105"/>
      <c r="L32" s="109"/>
      <c r="M32" s="109"/>
      <c r="N32" s="110"/>
    </row>
    <row r="33" spans="1:14" s="16" customFormat="1" ht="17.25" customHeight="1" x14ac:dyDescent="0.3">
      <c r="A33" s="195"/>
      <c r="B33" s="111"/>
      <c r="C33" s="112"/>
      <c r="D33" s="112"/>
      <c r="E33" s="112"/>
      <c r="F33" s="112"/>
      <c r="G33" s="112"/>
      <c r="H33" s="112"/>
      <c r="I33" s="105"/>
      <c r="J33" s="105"/>
      <c r="K33" s="105"/>
      <c r="L33" s="109"/>
      <c r="M33" s="109"/>
      <c r="N33" s="110"/>
    </row>
    <row r="34" spans="1:14" s="16" customFormat="1" ht="18.75" x14ac:dyDescent="0.3">
      <c r="A34" s="195" t="s">
        <v>56</v>
      </c>
      <c r="B34" s="113">
        <f>B31/B32</f>
        <v>1</v>
      </c>
      <c r="C34" s="188" t="s">
        <v>57</v>
      </c>
      <c r="D34" s="188"/>
      <c r="E34" s="188"/>
      <c r="F34" s="188"/>
      <c r="G34" s="188"/>
      <c r="I34" s="105"/>
      <c r="J34" s="105"/>
      <c r="K34" s="105"/>
      <c r="L34" s="109"/>
      <c r="M34" s="109"/>
      <c r="N34" s="110"/>
    </row>
    <row r="35" spans="1:14" s="16" customFormat="1" ht="19.5" customHeight="1" thickBot="1" x14ac:dyDescent="0.35">
      <c r="A35" s="195"/>
      <c r="B35" s="260"/>
      <c r="G35" s="188"/>
      <c r="I35" s="105"/>
      <c r="J35" s="105"/>
      <c r="K35" s="105"/>
      <c r="L35" s="109"/>
      <c r="M35" s="109"/>
      <c r="N35" s="110"/>
    </row>
    <row r="36" spans="1:14" s="16" customFormat="1" ht="27" customHeight="1" thickBot="1" x14ac:dyDescent="0.45">
      <c r="A36" s="114" t="s">
        <v>58</v>
      </c>
      <c r="B36" s="115">
        <v>50</v>
      </c>
      <c r="C36" s="188"/>
      <c r="D36" s="274" t="s">
        <v>59</v>
      </c>
      <c r="E36" s="294"/>
      <c r="F36" s="274" t="s">
        <v>60</v>
      </c>
      <c r="G36" s="275"/>
      <c r="J36" s="105"/>
      <c r="K36" s="105"/>
      <c r="L36" s="109"/>
      <c r="M36" s="109"/>
      <c r="N36" s="110"/>
    </row>
    <row r="37" spans="1:14" s="16" customFormat="1" ht="27" customHeight="1" thickBot="1" x14ac:dyDescent="0.45">
      <c r="A37" s="116" t="s">
        <v>61</v>
      </c>
      <c r="B37" s="117">
        <v>5</v>
      </c>
      <c r="C37" s="118" t="s">
        <v>62</v>
      </c>
      <c r="D37" s="119" t="s">
        <v>63</v>
      </c>
      <c r="E37" s="120" t="s">
        <v>64</v>
      </c>
      <c r="F37" s="119" t="s">
        <v>63</v>
      </c>
      <c r="G37" s="121" t="s">
        <v>64</v>
      </c>
      <c r="I37" s="122" t="s">
        <v>65</v>
      </c>
      <c r="J37" s="105"/>
      <c r="K37" s="105"/>
      <c r="L37" s="109"/>
      <c r="M37" s="109"/>
      <c r="N37" s="110"/>
    </row>
    <row r="38" spans="1:14" s="16" customFormat="1" ht="26.25" customHeight="1" x14ac:dyDescent="0.4">
      <c r="A38" s="116" t="s">
        <v>66</v>
      </c>
      <c r="B38" s="117">
        <v>25</v>
      </c>
      <c r="C38" s="123">
        <v>1</v>
      </c>
      <c r="D38" s="124">
        <v>17622978</v>
      </c>
      <c r="E38" s="125">
        <f>IF(ISBLANK(D38),"-",$D$48/$D$45*D38)</f>
        <v>18291267.758836862</v>
      </c>
      <c r="F38" s="124">
        <v>17875243</v>
      </c>
      <c r="G38" s="126">
        <f>IF(ISBLANK(F38),"-",$D$48/$F$45*F38)</f>
        <v>17792826.627063442</v>
      </c>
      <c r="I38" s="127"/>
      <c r="J38" s="105"/>
      <c r="K38" s="105"/>
      <c r="L38" s="109"/>
      <c r="M38" s="109"/>
      <c r="N38" s="110"/>
    </row>
    <row r="39" spans="1:14" s="16" customFormat="1" ht="26.25" customHeight="1" x14ac:dyDescent="0.4">
      <c r="A39" s="116" t="s">
        <v>67</v>
      </c>
      <c r="B39" s="117">
        <v>1</v>
      </c>
      <c r="C39" s="145">
        <v>2</v>
      </c>
      <c r="D39" s="128">
        <v>17633869</v>
      </c>
      <c r="E39" s="129">
        <f>IF(ISBLANK(D39),"-",$D$48/$D$45*D39)</f>
        <v>18302571.761892505</v>
      </c>
      <c r="F39" s="128">
        <v>17841555</v>
      </c>
      <c r="G39" s="130">
        <f>IF(ISBLANK(F39),"-",$D$48/$F$45*F39)</f>
        <v>17759293.950421646</v>
      </c>
      <c r="I39" s="265">
        <f>ABS((F43/D43*D42)-F42)/D42</f>
        <v>3.0228679482279405E-2</v>
      </c>
      <c r="J39" s="105"/>
      <c r="K39" s="105"/>
      <c r="L39" s="109"/>
      <c r="M39" s="109"/>
      <c r="N39" s="110"/>
    </row>
    <row r="40" spans="1:14" ht="26.25" customHeight="1" x14ac:dyDescent="0.4">
      <c r="A40" s="116" t="s">
        <v>68</v>
      </c>
      <c r="B40" s="117">
        <v>1</v>
      </c>
      <c r="C40" s="145">
        <v>3</v>
      </c>
      <c r="D40" s="128">
        <v>17616673</v>
      </c>
      <c r="E40" s="129">
        <f>IF(ISBLANK(D40),"-",$D$48/$D$45*D40)</f>
        <v>18284723.663779858</v>
      </c>
      <c r="F40" s="128">
        <v>17817666</v>
      </c>
      <c r="G40" s="130">
        <f>IF(ISBLANK(F40),"-",$D$48/$F$45*F40)</f>
        <v>17735515.094084203</v>
      </c>
      <c r="I40" s="265"/>
      <c r="L40" s="109"/>
      <c r="M40" s="109"/>
      <c r="N40" s="188"/>
    </row>
    <row r="41" spans="1:14" ht="27" customHeight="1" thickBot="1" x14ac:dyDescent="0.45">
      <c r="A41" s="116" t="s">
        <v>69</v>
      </c>
      <c r="B41" s="117">
        <v>1</v>
      </c>
      <c r="C41" s="131">
        <v>4</v>
      </c>
      <c r="D41" s="132"/>
      <c r="E41" s="133" t="str">
        <f>IF(ISBLANK(D41),"-",$D$48/$D$45*D41)</f>
        <v>-</v>
      </c>
      <c r="F41" s="132"/>
      <c r="G41" s="134" t="str">
        <f>IF(ISBLANK(F41),"-",$D$48/$F$45*F41)</f>
        <v>-</v>
      </c>
      <c r="I41" s="135"/>
      <c r="L41" s="109"/>
      <c r="M41" s="109"/>
      <c r="N41" s="188"/>
    </row>
    <row r="42" spans="1:14" ht="27" customHeight="1" thickBot="1" x14ac:dyDescent="0.45">
      <c r="A42" s="116" t="s">
        <v>70</v>
      </c>
      <c r="B42" s="117">
        <v>1</v>
      </c>
      <c r="C42" s="136" t="s">
        <v>71</v>
      </c>
      <c r="D42" s="137">
        <f>AVERAGE(D38:D41)</f>
        <v>17624506.666666668</v>
      </c>
      <c r="E42" s="138">
        <f>AVERAGE(E38:E41)</f>
        <v>18292854.394836407</v>
      </c>
      <c r="F42" s="137">
        <f>AVERAGE(F38:F41)</f>
        <v>17844821.333333332</v>
      </c>
      <c r="G42" s="139">
        <f>AVERAGE(G38:G41)</f>
        <v>17762545.223856431</v>
      </c>
      <c r="H42" s="140"/>
    </row>
    <row r="43" spans="1:14" ht="26.25" customHeight="1" x14ac:dyDescent="0.4">
      <c r="A43" s="116" t="s">
        <v>72</v>
      </c>
      <c r="B43" s="117">
        <v>1</v>
      </c>
      <c r="C43" s="141" t="s">
        <v>73</v>
      </c>
      <c r="D43" s="142">
        <v>14.51</v>
      </c>
      <c r="E43" s="188"/>
      <c r="F43" s="142">
        <v>15.13</v>
      </c>
      <c r="H43" s="140"/>
    </row>
    <row r="44" spans="1:14" ht="26.25" customHeight="1" x14ac:dyDescent="0.4">
      <c r="A44" s="116" t="s">
        <v>74</v>
      </c>
      <c r="B44" s="117">
        <v>1</v>
      </c>
      <c r="C44" s="143" t="s">
        <v>75</v>
      </c>
      <c r="D44" s="144">
        <f>D43*$B$34</f>
        <v>14.51</v>
      </c>
      <c r="E44" s="203"/>
      <c r="F44" s="144">
        <f>F43*$B$34</f>
        <v>15.13</v>
      </c>
      <c r="H44" s="140"/>
    </row>
    <row r="45" spans="1:14" ht="19.5" customHeight="1" thickBot="1" x14ac:dyDescent="0.35">
      <c r="A45" s="116" t="s">
        <v>76</v>
      </c>
      <c r="B45" s="145">
        <f>(B44/B43)*(B42/B41)*(B40/B39)*(B38/B37)*B36</f>
        <v>250</v>
      </c>
      <c r="C45" s="143" t="s">
        <v>77</v>
      </c>
      <c r="D45" s="146">
        <f>D44*$B$30/100</f>
        <v>14.45196</v>
      </c>
      <c r="E45" s="185"/>
      <c r="F45" s="146">
        <f>F44*$B$30/100</f>
        <v>15.06948</v>
      </c>
      <c r="H45" s="140"/>
    </row>
    <row r="46" spans="1:14" ht="19.5" customHeight="1" thickBot="1" x14ac:dyDescent="0.35">
      <c r="A46" s="266" t="s">
        <v>78</v>
      </c>
      <c r="B46" s="270"/>
      <c r="C46" s="143" t="s">
        <v>79</v>
      </c>
      <c r="D46" s="147">
        <f>D45/$B$45</f>
        <v>5.7807839999999999E-2</v>
      </c>
      <c r="E46" s="148"/>
      <c r="F46" s="149">
        <f>F45/$B$45</f>
        <v>6.0277919999999999E-2</v>
      </c>
      <c r="H46" s="140"/>
    </row>
    <row r="47" spans="1:14" ht="27" customHeight="1" thickBot="1" x14ac:dyDescent="0.45">
      <c r="A47" s="268"/>
      <c r="B47" s="271"/>
      <c r="C47" s="150" t="s">
        <v>80</v>
      </c>
      <c r="D47" s="151">
        <v>0.06</v>
      </c>
      <c r="E47" s="152"/>
      <c r="F47" s="148"/>
      <c r="H47" s="140"/>
    </row>
    <row r="48" spans="1:14" ht="18.75" x14ac:dyDescent="0.3">
      <c r="C48" s="153" t="s">
        <v>81</v>
      </c>
      <c r="D48" s="146">
        <f>D47*$B$45</f>
        <v>15</v>
      </c>
      <c r="F48" s="154"/>
      <c r="H48" s="140"/>
    </row>
    <row r="49" spans="1:12" ht="19.5" customHeight="1" thickBot="1" x14ac:dyDescent="0.35">
      <c r="C49" s="155" t="s">
        <v>82</v>
      </c>
      <c r="D49" s="156">
        <f>D48/B34</f>
        <v>15</v>
      </c>
      <c r="F49" s="154"/>
      <c r="H49" s="140"/>
    </row>
    <row r="50" spans="1:12" ht="18.75" x14ac:dyDescent="0.3">
      <c r="C50" s="114" t="s">
        <v>83</v>
      </c>
      <c r="D50" s="157">
        <f>AVERAGE(E38:E41,G38:G41)</f>
        <v>18027699.809346419</v>
      </c>
      <c r="F50" s="158"/>
      <c r="H50" s="140"/>
    </row>
    <row r="51" spans="1:12" ht="18.75" x14ac:dyDescent="0.3">
      <c r="C51" s="116" t="s">
        <v>84</v>
      </c>
      <c r="D51" s="159">
        <f>STDEV(E38:E41,G38:G41)/D50</f>
        <v>1.6146742458052761E-2</v>
      </c>
      <c r="F51" s="158"/>
      <c r="H51" s="140"/>
    </row>
    <row r="52" spans="1:12" ht="19.5" customHeight="1" thickBot="1" x14ac:dyDescent="0.35">
      <c r="C52" s="160" t="s">
        <v>20</v>
      </c>
      <c r="D52" s="161">
        <f>COUNT(E38:E41,G38:G41)</f>
        <v>6</v>
      </c>
      <c r="F52" s="158"/>
    </row>
    <row r="54" spans="1:12" ht="18.75" x14ac:dyDescent="0.3">
      <c r="A54" s="162" t="s">
        <v>1</v>
      </c>
      <c r="B54" s="163" t="s">
        <v>85</v>
      </c>
    </row>
    <row r="55" spans="1:12" ht="18.75" x14ac:dyDescent="0.3">
      <c r="A55" s="188" t="s">
        <v>86</v>
      </c>
      <c r="B55" s="164" t="str">
        <f>B21</f>
        <v>Each Tablet contains: Rifampicin 60mg, Isoniazid 30mg</v>
      </c>
    </row>
    <row r="56" spans="1:12" ht="26.25" customHeight="1" x14ac:dyDescent="0.4">
      <c r="A56" s="164" t="s">
        <v>87</v>
      </c>
      <c r="B56" s="165">
        <v>60</v>
      </c>
      <c r="C56" s="188" t="str">
        <f>B20</f>
        <v>Rifampicin</v>
      </c>
      <c r="H56" s="203"/>
    </row>
    <row r="57" spans="1:12" ht="18.75" x14ac:dyDescent="0.3">
      <c r="A57" s="164" t="s">
        <v>88</v>
      </c>
      <c r="B57" s="243">
        <f>Uniformity!C46</f>
        <v>234.37499999999994</v>
      </c>
      <c r="H57" s="203"/>
    </row>
    <row r="58" spans="1:12" ht="19.5" customHeight="1" thickBot="1" x14ac:dyDescent="0.35">
      <c r="H58" s="203"/>
    </row>
    <row r="59" spans="1:12" s="16" customFormat="1" ht="27" customHeight="1" thickBot="1" x14ac:dyDescent="0.45">
      <c r="A59" s="114" t="s">
        <v>89</v>
      </c>
      <c r="B59" s="115">
        <v>100</v>
      </c>
      <c r="C59" s="188"/>
      <c r="D59" s="166" t="s">
        <v>90</v>
      </c>
      <c r="E59" s="167" t="s">
        <v>62</v>
      </c>
      <c r="F59" s="167" t="s">
        <v>63</v>
      </c>
      <c r="G59" s="167" t="s">
        <v>91</v>
      </c>
      <c r="H59" s="118" t="s">
        <v>92</v>
      </c>
      <c r="L59" s="105"/>
    </row>
    <row r="60" spans="1:12" s="16" customFormat="1" ht="26.25" customHeight="1" x14ac:dyDescent="0.4">
      <c r="A60" s="116" t="s">
        <v>93</v>
      </c>
      <c r="B60" s="117">
        <v>1</v>
      </c>
      <c r="C60" s="276" t="s">
        <v>94</v>
      </c>
      <c r="D60" s="279">
        <v>23.88</v>
      </c>
      <c r="E60" s="168">
        <v>1</v>
      </c>
      <c r="F60" s="169">
        <v>17955227</v>
      </c>
      <c r="G60" s="244">
        <f>IF(ISBLANK(F60),"-",(F60/$D$50*$D$47*$B$68)*($B$57/$D$60))</f>
        <v>58.651455670685735</v>
      </c>
      <c r="H60" s="170">
        <f t="shared" ref="H60:H71" si="0">IF(ISBLANK(F60),"-",G60/$B$56)</f>
        <v>0.97752426117809554</v>
      </c>
      <c r="L60" s="105"/>
    </row>
    <row r="61" spans="1:12" s="16" customFormat="1" ht="26.25" customHeight="1" x14ac:dyDescent="0.4">
      <c r="A61" s="116" t="s">
        <v>95</v>
      </c>
      <c r="B61" s="117">
        <v>1</v>
      </c>
      <c r="C61" s="277"/>
      <c r="D61" s="280"/>
      <c r="E61" s="171">
        <v>2</v>
      </c>
      <c r="F61" s="128">
        <v>17946080</v>
      </c>
      <c r="G61" s="245">
        <f>IF(ISBLANK(F61),"-",(F61/$D$50*$D$47*$B$68)*($B$57/$D$60))</f>
        <v>58.621576635181498</v>
      </c>
      <c r="H61" s="172">
        <f t="shared" si="0"/>
        <v>0.97702627725302493</v>
      </c>
      <c r="L61" s="105"/>
    </row>
    <row r="62" spans="1:12" s="16" customFormat="1" ht="26.25" customHeight="1" x14ac:dyDescent="0.4">
      <c r="A62" s="116" t="s">
        <v>96</v>
      </c>
      <c r="B62" s="117">
        <v>1</v>
      </c>
      <c r="C62" s="277"/>
      <c r="D62" s="280"/>
      <c r="E62" s="171">
        <v>3</v>
      </c>
      <c r="F62" s="173">
        <v>17906046</v>
      </c>
      <c r="G62" s="245">
        <f>IF(ISBLANK(F62),"-",(F62/$D$50*$D$47*$B$68)*($B$57/$D$60))</f>
        <v>58.490803998538127</v>
      </c>
      <c r="H62" s="172">
        <f t="shared" si="0"/>
        <v>0.97484673330896876</v>
      </c>
      <c r="L62" s="105"/>
    </row>
    <row r="63" spans="1:12" ht="27" customHeight="1" thickBot="1" x14ac:dyDescent="0.45">
      <c r="A63" s="116" t="s">
        <v>97</v>
      </c>
      <c r="B63" s="117">
        <v>1</v>
      </c>
      <c r="C63" s="278"/>
      <c r="D63" s="281"/>
      <c r="E63" s="174">
        <v>4</v>
      </c>
      <c r="F63" s="175"/>
      <c r="G63" s="245" t="str">
        <f>IF(ISBLANK(F63),"-",(F63/$D$50*$D$47*$B$68)*($B$57/$D$60))</f>
        <v>-</v>
      </c>
      <c r="H63" s="172" t="str">
        <f t="shared" si="0"/>
        <v>-</v>
      </c>
    </row>
    <row r="64" spans="1:12" ht="26.25" customHeight="1" x14ac:dyDescent="0.4">
      <c r="A64" s="116" t="s">
        <v>98</v>
      </c>
      <c r="B64" s="117">
        <v>1</v>
      </c>
      <c r="C64" s="276" t="s">
        <v>99</v>
      </c>
      <c r="D64" s="279">
        <v>22.39</v>
      </c>
      <c r="E64" s="168">
        <v>1</v>
      </c>
      <c r="F64" s="169">
        <v>17346711</v>
      </c>
      <c r="G64" s="246">
        <f>IF(ISBLANK(F64),"-",(F64/$D$50*$D$47*$B$68)*($B$57/$D$64))</f>
        <v>60.434546460995058</v>
      </c>
      <c r="H64" s="176">
        <f t="shared" si="0"/>
        <v>1.0072424410165843</v>
      </c>
    </row>
    <row r="65" spans="1:8" ht="26.25" customHeight="1" x14ac:dyDescent="0.4">
      <c r="A65" s="116" t="s">
        <v>100</v>
      </c>
      <c r="B65" s="117">
        <v>1</v>
      </c>
      <c r="C65" s="277"/>
      <c r="D65" s="280"/>
      <c r="E65" s="171">
        <v>2</v>
      </c>
      <c r="F65" s="128">
        <v>17368344</v>
      </c>
      <c r="G65" s="247">
        <f>IF(ISBLANK(F65),"-",(F65/$D$50*$D$47*$B$68)*($B$57/$D$64))</f>
        <v>60.509914093717512</v>
      </c>
      <c r="H65" s="177">
        <f t="shared" si="0"/>
        <v>1.0084985682286252</v>
      </c>
    </row>
    <row r="66" spans="1:8" ht="26.25" customHeight="1" x14ac:dyDescent="0.4">
      <c r="A66" s="116" t="s">
        <v>101</v>
      </c>
      <c r="B66" s="117">
        <v>1</v>
      </c>
      <c r="C66" s="277"/>
      <c r="D66" s="280"/>
      <c r="E66" s="171">
        <v>3</v>
      </c>
      <c r="F66" s="128">
        <v>17303912</v>
      </c>
      <c r="G66" s="247">
        <f>IF(ISBLANK(F66),"-",(F66/$D$50*$D$47*$B$68)*($B$57/$D$64))</f>
        <v>60.285438186003667</v>
      </c>
      <c r="H66" s="177">
        <f t="shared" si="0"/>
        <v>1.0047573031000612</v>
      </c>
    </row>
    <row r="67" spans="1:8" ht="27" customHeight="1" thickBot="1" x14ac:dyDescent="0.45">
      <c r="A67" s="116" t="s">
        <v>102</v>
      </c>
      <c r="B67" s="117">
        <v>1</v>
      </c>
      <c r="C67" s="278"/>
      <c r="D67" s="281"/>
      <c r="E67" s="174">
        <v>4</v>
      </c>
      <c r="F67" s="175"/>
      <c r="G67" s="248" t="str">
        <f>IF(ISBLANK(F67),"-",(F67/$D$50*$D$47*$B$68)*($B$57/$D$64))</f>
        <v>-</v>
      </c>
      <c r="H67" s="178" t="str">
        <f t="shared" si="0"/>
        <v>-</v>
      </c>
    </row>
    <row r="68" spans="1:8" ht="26.25" customHeight="1" x14ac:dyDescent="0.4">
      <c r="A68" s="116" t="s">
        <v>103</v>
      </c>
      <c r="B68" s="179">
        <f>(B67/B66)*(B65/B64)*(B63/B62)*(B61/B60)*B59</f>
        <v>100</v>
      </c>
      <c r="C68" s="276" t="s">
        <v>104</v>
      </c>
      <c r="D68" s="279">
        <v>21.58</v>
      </c>
      <c r="E68" s="168">
        <v>1</v>
      </c>
      <c r="F68" s="169">
        <v>16608640</v>
      </c>
      <c r="G68" s="246">
        <f>IF(ISBLANK(F68),"-",(F68/$D$50*$D$47*$B$68)*($B$57/$D$68))</f>
        <v>60.035046178530756</v>
      </c>
      <c r="H68" s="172">
        <f t="shared" si="0"/>
        <v>1.0005841029755127</v>
      </c>
    </row>
    <row r="69" spans="1:8" ht="27" customHeight="1" thickBot="1" x14ac:dyDescent="0.45">
      <c r="A69" s="160" t="s">
        <v>105</v>
      </c>
      <c r="B69" s="180">
        <f>(D47*B68)/B56*B57</f>
        <v>23.437499999999996</v>
      </c>
      <c r="C69" s="277"/>
      <c r="D69" s="280"/>
      <c r="E69" s="171">
        <v>2</v>
      </c>
      <c r="F69" s="128">
        <v>16605671</v>
      </c>
      <c r="G69" s="247">
        <f>IF(ISBLANK(F69),"-",(F69/$D$50*$D$47*$B$68)*($B$57/$D$68))</f>
        <v>60.024314170846566</v>
      </c>
      <c r="H69" s="172">
        <f t="shared" si="0"/>
        <v>1.000405236180776</v>
      </c>
    </row>
    <row r="70" spans="1:8" ht="26.25" customHeight="1" x14ac:dyDescent="0.4">
      <c r="A70" s="290" t="s">
        <v>78</v>
      </c>
      <c r="B70" s="291"/>
      <c r="C70" s="277"/>
      <c r="D70" s="280"/>
      <c r="E70" s="171">
        <v>3</v>
      </c>
      <c r="F70" s="128">
        <v>16590430</v>
      </c>
      <c r="G70" s="247">
        <f>IF(ISBLANK(F70),"-",(F70/$D$50*$D$47*$B$68)*($B$57/$D$68))</f>
        <v>59.969222716109329</v>
      </c>
      <c r="H70" s="172">
        <f t="shared" si="0"/>
        <v>0.99948704526848886</v>
      </c>
    </row>
    <row r="71" spans="1:8" ht="27" customHeight="1" thickBot="1" x14ac:dyDescent="0.45">
      <c r="A71" s="292"/>
      <c r="B71" s="293"/>
      <c r="C71" s="282"/>
      <c r="D71" s="281"/>
      <c r="E71" s="174">
        <v>4</v>
      </c>
      <c r="F71" s="175"/>
      <c r="G71" s="248" t="str">
        <f>IF(ISBLANK(F71),"-",(F71/$D$50*$D$47*$B$68)*($B$57/$D$68))</f>
        <v>-</v>
      </c>
      <c r="H71" s="181" t="str">
        <f t="shared" si="0"/>
        <v>-</v>
      </c>
    </row>
    <row r="72" spans="1:8" ht="26.25" customHeight="1" x14ac:dyDescent="0.4">
      <c r="A72" s="203"/>
      <c r="B72" s="203"/>
      <c r="C72" s="203"/>
      <c r="D72" s="203"/>
      <c r="E72" s="203"/>
      <c r="F72" s="182" t="s">
        <v>71</v>
      </c>
      <c r="G72" s="253">
        <f>AVERAGE(G60:G71)</f>
        <v>59.669146456734246</v>
      </c>
      <c r="H72" s="183">
        <f>AVERAGE(H60:H71)</f>
        <v>0.99448577427890406</v>
      </c>
    </row>
    <row r="73" spans="1:8" ht="26.25" customHeight="1" x14ac:dyDescent="0.4">
      <c r="C73" s="203"/>
      <c r="D73" s="203"/>
      <c r="E73" s="203"/>
      <c r="F73" s="184" t="s">
        <v>84</v>
      </c>
      <c r="G73" s="249">
        <f>STDEV(G60:G71)/G72</f>
        <v>1.3951623803688827E-2</v>
      </c>
      <c r="H73" s="249">
        <f>STDEV(H60:H71)/H72</f>
        <v>1.3951623803688846E-2</v>
      </c>
    </row>
    <row r="74" spans="1:8" ht="27" customHeight="1" thickBot="1" x14ac:dyDescent="0.45">
      <c r="A74" s="203"/>
      <c r="B74" s="203"/>
      <c r="C74" s="203"/>
      <c r="D74" s="203"/>
      <c r="E74" s="185"/>
      <c r="F74" s="186" t="s">
        <v>20</v>
      </c>
      <c r="G74" s="187">
        <f>COUNT(G60:G71)</f>
        <v>9</v>
      </c>
      <c r="H74" s="187">
        <f>COUNT(H60:H71)</f>
        <v>9</v>
      </c>
    </row>
    <row r="76" spans="1:8" ht="26.25" customHeight="1" x14ac:dyDescent="0.4">
      <c r="A76" s="237" t="s">
        <v>106</v>
      </c>
      <c r="B76" s="195" t="s">
        <v>107</v>
      </c>
      <c r="C76" s="272" t="str">
        <f>B20</f>
        <v>Rifampicin</v>
      </c>
      <c r="D76" s="272"/>
      <c r="E76" s="188" t="s">
        <v>108</v>
      </c>
      <c r="F76" s="188"/>
      <c r="G76" s="189">
        <f>H72</f>
        <v>0.99448577427890406</v>
      </c>
      <c r="H76" s="260"/>
    </row>
    <row r="77" spans="1:8" ht="18.75" x14ac:dyDescent="0.3">
      <c r="A77" s="103" t="s">
        <v>109</v>
      </c>
      <c r="B77" s="103" t="s">
        <v>110</v>
      </c>
    </row>
    <row r="78" spans="1:8" ht="18.75" x14ac:dyDescent="0.3">
      <c r="A78" s="103"/>
      <c r="B78" s="103"/>
    </row>
    <row r="79" spans="1:8" ht="26.25" customHeight="1" x14ac:dyDescent="0.4">
      <c r="A79" s="237" t="s">
        <v>4</v>
      </c>
      <c r="B79" s="283" t="str">
        <f>B26</f>
        <v>Rifampicin</v>
      </c>
      <c r="C79" s="283"/>
    </row>
    <row r="80" spans="1:8" ht="26.25" customHeight="1" x14ac:dyDescent="0.4">
      <c r="A80" s="195" t="s">
        <v>48</v>
      </c>
      <c r="B80" s="283" t="str">
        <f>B27</f>
        <v>R5-1</v>
      </c>
      <c r="C80" s="283"/>
    </row>
    <row r="81" spans="1:12" ht="27" customHeight="1" thickBot="1" x14ac:dyDescent="0.45">
      <c r="A81" s="195" t="s">
        <v>6</v>
      </c>
      <c r="B81" s="190">
        <f>B28</f>
        <v>99.6</v>
      </c>
    </row>
    <row r="82" spans="1:12" s="16" customFormat="1" ht="27" customHeight="1" thickBot="1" x14ac:dyDescent="0.45">
      <c r="A82" s="195" t="s">
        <v>49</v>
      </c>
      <c r="B82" s="104">
        <v>0</v>
      </c>
      <c r="C82" s="284" t="s">
        <v>50</v>
      </c>
      <c r="D82" s="285"/>
      <c r="E82" s="285"/>
      <c r="F82" s="285"/>
      <c r="G82" s="286"/>
      <c r="I82" s="105"/>
      <c r="J82" s="105"/>
      <c r="K82" s="105"/>
      <c r="L82" s="105"/>
    </row>
    <row r="83" spans="1:12" s="16" customFormat="1" ht="19.5" customHeight="1" thickBot="1" x14ac:dyDescent="0.35">
      <c r="A83" s="195" t="s">
        <v>51</v>
      </c>
      <c r="B83" s="260">
        <f>B81-B82</f>
        <v>99.6</v>
      </c>
      <c r="C83" s="106"/>
      <c r="D83" s="106"/>
      <c r="E83" s="106"/>
      <c r="F83" s="106"/>
      <c r="G83" s="107"/>
      <c r="I83" s="105"/>
      <c r="J83" s="105"/>
      <c r="K83" s="105"/>
      <c r="L83" s="105"/>
    </row>
    <row r="84" spans="1:12" s="16" customFormat="1" ht="27" customHeight="1" thickBot="1" x14ac:dyDescent="0.45">
      <c r="A84" s="195" t="s">
        <v>52</v>
      </c>
      <c r="B84" s="108">
        <v>1</v>
      </c>
      <c r="C84" s="287" t="s">
        <v>111</v>
      </c>
      <c r="D84" s="288"/>
      <c r="E84" s="288"/>
      <c r="F84" s="288"/>
      <c r="G84" s="288"/>
      <c r="H84" s="289"/>
      <c r="I84" s="105"/>
      <c r="J84" s="105"/>
      <c r="K84" s="105"/>
      <c r="L84" s="105"/>
    </row>
    <row r="85" spans="1:12" s="16" customFormat="1" ht="27" customHeight="1" thickBot="1" x14ac:dyDescent="0.45">
      <c r="A85" s="195" t="s">
        <v>54</v>
      </c>
      <c r="B85" s="108">
        <v>1</v>
      </c>
      <c r="C85" s="287" t="s">
        <v>112</v>
      </c>
      <c r="D85" s="288"/>
      <c r="E85" s="288"/>
      <c r="F85" s="288"/>
      <c r="G85" s="288"/>
      <c r="H85" s="289"/>
      <c r="I85" s="105"/>
      <c r="J85" s="105"/>
      <c r="K85" s="105"/>
      <c r="L85" s="105"/>
    </row>
    <row r="86" spans="1:12" s="16" customFormat="1" ht="18.75" x14ac:dyDescent="0.3">
      <c r="A86" s="195"/>
      <c r="B86" s="111"/>
      <c r="C86" s="112"/>
      <c r="D86" s="112"/>
      <c r="E86" s="112"/>
      <c r="F86" s="112"/>
      <c r="G86" s="112"/>
      <c r="H86" s="112"/>
      <c r="I86" s="105"/>
      <c r="J86" s="105"/>
      <c r="K86" s="105"/>
      <c r="L86" s="105"/>
    </row>
    <row r="87" spans="1:12" s="16" customFormat="1" ht="18.75" x14ac:dyDescent="0.3">
      <c r="A87" s="195" t="s">
        <v>56</v>
      </c>
      <c r="B87" s="113">
        <f>B84/B85</f>
        <v>1</v>
      </c>
      <c r="C87" s="188" t="s">
        <v>57</v>
      </c>
      <c r="D87" s="188"/>
      <c r="E87" s="188"/>
      <c r="F87" s="188"/>
      <c r="G87" s="188"/>
      <c r="I87" s="105"/>
      <c r="J87" s="105"/>
      <c r="K87" s="105"/>
      <c r="L87" s="105"/>
    </row>
    <row r="88" spans="1:12" ht="19.5" customHeight="1" thickBot="1" x14ac:dyDescent="0.35">
      <c r="A88" s="103"/>
      <c r="B88" s="103"/>
    </row>
    <row r="89" spans="1:12" ht="27" customHeight="1" thickBot="1" x14ac:dyDescent="0.45">
      <c r="A89" s="114" t="s">
        <v>58</v>
      </c>
      <c r="B89" s="115">
        <v>100</v>
      </c>
      <c r="D89" s="258" t="s">
        <v>59</v>
      </c>
      <c r="E89" s="259"/>
      <c r="F89" s="274" t="s">
        <v>60</v>
      </c>
      <c r="G89" s="275"/>
    </row>
    <row r="90" spans="1:12" ht="27" customHeight="1" thickBot="1" x14ac:dyDescent="0.45">
      <c r="A90" s="116" t="s">
        <v>61</v>
      </c>
      <c r="B90" s="117">
        <v>10</v>
      </c>
      <c r="C90" s="261" t="s">
        <v>62</v>
      </c>
      <c r="D90" s="119" t="s">
        <v>63</v>
      </c>
      <c r="E90" s="120" t="s">
        <v>64</v>
      </c>
      <c r="F90" s="119" t="s">
        <v>63</v>
      </c>
      <c r="G90" s="191" t="s">
        <v>64</v>
      </c>
      <c r="I90" s="122" t="s">
        <v>65</v>
      </c>
    </row>
    <row r="91" spans="1:12" ht="26.25" customHeight="1" x14ac:dyDescent="0.4">
      <c r="A91" s="116" t="s">
        <v>66</v>
      </c>
      <c r="B91" s="117">
        <v>25</v>
      </c>
      <c r="C91" s="192">
        <v>1</v>
      </c>
      <c r="D91" s="124">
        <v>19132056</v>
      </c>
      <c r="E91" s="125">
        <f>IF(ISBLANK(D91),"-",$D$101/$D$98*D91)</f>
        <v>21159827.678194601</v>
      </c>
      <c r="F91" s="124">
        <v>17356071</v>
      </c>
      <c r="G91" s="126">
        <f>IF(ISBLANK(F91),"-",$D$101/$F$98*F91)</f>
        <v>20909256.175168641</v>
      </c>
      <c r="I91" s="127"/>
    </row>
    <row r="92" spans="1:12" ht="26.25" customHeight="1" x14ac:dyDescent="0.4">
      <c r="A92" s="116" t="s">
        <v>67</v>
      </c>
      <c r="B92" s="117">
        <v>1</v>
      </c>
      <c r="C92" s="203">
        <v>2</v>
      </c>
      <c r="D92" s="128">
        <v>19126037</v>
      </c>
      <c r="E92" s="129">
        <f>IF(ISBLANK(D92),"-",$D$101/$D$98*D92)</f>
        <v>21153170.735375959</v>
      </c>
      <c r="F92" s="128">
        <v>17351186</v>
      </c>
      <c r="G92" s="130">
        <f>IF(ISBLANK(F92),"-",$D$101/$F$98*F92)</f>
        <v>20903371.103805676</v>
      </c>
      <c r="I92" s="265">
        <f>ABS((F96/D96*D95)-F95)/D95</f>
        <v>1.0455297148327089E-2</v>
      </c>
    </row>
    <row r="93" spans="1:12" ht="26.25" customHeight="1" x14ac:dyDescent="0.4">
      <c r="A93" s="116" t="s">
        <v>68</v>
      </c>
      <c r="B93" s="117">
        <v>1</v>
      </c>
      <c r="C93" s="203">
        <v>3</v>
      </c>
      <c r="D93" s="128">
        <v>19103263</v>
      </c>
      <c r="E93" s="129">
        <f>IF(ISBLANK(D93),"-",$D$101/$D$98*D93)</f>
        <v>21127982.960703798</v>
      </c>
      <c r="F93" s="128">
        <v>17353240</v>
      </c>
      <c r="G93" s="130">
        <f>IF(ISBLANK(F93),"-",$D$101/$F$98*F93)</f>
        <v>20905845.604640789</v>
      </c>
      <c r="I93" s="265"/>
    </row>
    <row r="94" spans="1:12" ht="27" customHeight="1" thickBot="1" x14ac:dyDescent="0.45">
      <c r="A94" s="116" t="s">
        <v>69</v>
      </c>
      <c r="B94" s="117">
        <v>1</v>
      </c>
      <c r="C94" s="193">
        <v>4</v>
      </c>
      <c r="D94" s="132"/>
      <c r="E94" s="133" t="str">
        <f>IF(ISBLANK(D94),"-",$D$101/$D$98*D94)</f>
        <v>-</v>
      </c>
      <c r="F94" s="194"/>
      <c r="G94" s="134" t="str">
        <f>IF(ISBLANK(F94),"-",$D$101/$F$98*F94)</f>
        <v>-</v>
      </c>
      <c r="I94" s="135"/>
    </row>
    <row r="95" spans="1:12" ht="27" customHeight="1" thickBot="1" x14ac:dyDescent="0.45">
      <c r="A95" s="116" t="s">
        <v>70</v>
      </c>
      <c r="B95" s="117">
        <v>1</v>
      </c>
      <c r="C95" s="195" t="s">
        <v>71</v>
      </c>
      <c r="D95" s="196">
        <f>AVERAGE(D91:D94)</f>
        <v>19120452</v>
      </c>
      <c r="E95" s="138">
        <f>AVERAGE(E91:E94)</f>
        <v>21146993.791424785</v>
      </c>
      <c r="F95" s="197">
        <f>AVERAGE(F91:F94)</f>
        <v>17353499</v>
      </c>
      <c r="G95" s="198">
        <f>AVERAGE(G91:G94)</f>
        <v>20906157.627871703</v>
      </c>
    </row>
    <row r="96" spans="1:12" ht="26.25" customHeight="1" x14ac:dyDescent="0.4">
      <c r="A96" s="116" t="s">
        <v>72</v>
      </c>
      <c r="B96" s="190">
        <v>1</v>
      </c>
      <c r="C96" s="199" t="s">
        <v>113</v>
      </c>
      <c r="D96" s="200">
        <v>15.13</v>
      </c>
      <c r="E96" s="188"/>
      <c r="F96" s="142">
        <v>13.89</v>
      </c>
    </row>
    <row r="97" spans="1:10" ht="26.25" customHeight="1" x14ac:dyDescent="0.4">
      <c r="A97" s="116" t="s">
        <v>74</v>
      </c>
      <c r="B97" s="190">
        <v>1</v>
      </c>
      <c r="C97" s="201" t="s">
        <v>114</v>
      </c>
      <c r="D97" s="202">
        <f>D96*$B$87</f>
        <v>15.13</v>
      </c>
      <c r="E97" s="203"/>
      <c r="F97" s="144">
        <f>F96*$B$87</f>
        <v>13.89</v>
      </c>
    </row>
    <row r="98" spans="1:10" ht="19.5" customHeight="1" thickBot="1" x14ac:dyDescent="0.35">
      <c r="A98" s="116" t="s">
        <v>76</v>
      </c>
      <c r="B98" s="203">
        <f>(B97/B96)*(B95/B94)*(B93/B92)*(B91/B90)*B89</f>
        <v>250</v>
      </c>
      <c r="C98" s="201" t="s">
        <v>115</v>
      </c>
      <c r="D98" s="204">
        <f>D97*$B$83/100</f>
        <v>15.06948</v>
      </c>
      <c r="E98" s="185"/>
      <c r="F98" s="146">
        <f>F97*$B$83/100</f>
        <v>13.834439999999999</v>
      </c>
    </row>
    <row r="99" spans="1:10" ht="19.5" customHeight="1" thickBot="1" x14ac:dyDescent="0.35">
      <c r="A99" s="266" t="s">
        <v>78</v>
      </c>
      <c r="B99" s="267"/>
      <c r="C99" s="201" t="s">
        <v>116</v>
      </c>
      <c r="D99" s="205">
        <f>D98/$B$98</f>
        <v>6.0277919999999999E-2</v>
      </c>
      <c r="E99" s="185"/>
      <c r="F99" s="149">
        <f>F98/$B$98</f>
        <v>5.5337759999999993E-2</v>
      </c>
      <c r="H99" s="140"/>
    </row>
    <row r="100" spans="1:10" ht="19.5" customHeight="1" thickBot="1" x14ac:dyDescent="0.35">
      <c r="A100" s="268"/>
      <c r="B100" s="269"/>
      <c r="C100" s="201" t="s">
        <v>80</v>
      </c>
      <c r="D100" s="207">
        <f>$B$56/$B$116</f>
        <v>6.6666666666666666E-2</v>
      </c>
      <c r="F100" s="154"/>
      <c r="G100" s="213"/>
      <c r="H100" s="140"/>
    </row>
    <row r="101" spans="1:10" ht="18.75" x14ac:dyDescent="0.3">
      <c r="C101" s="201" t="s">
        <v>81</v>
      </c>
      <c r="D101" s="202">
        <f>D100*$B$98</f>
        <v>16.666666666666668</v>
      </c>
      <c r="F101" s="154"/>
      <c r="H101" s="140"/>
    </row>
    <row r="102" spans="1:10" ht="19.5" customHeight="1" thickBot="1" x14ac:dyDescent="0.35">
      <c r="C102" s="208" t="s">
        <v>82</v>
      </c>
      <c r="D102" s="209">
        <f>D101/B34</f>
        <v>16.666666666666668</v>
      </c>
      <c r="F102" s="158"/>
      <c r="H102" s="140"/>
      <c r="J102" s="210"/>
    </row>
    <row r="103" spans="1:10" ht="18.75" x14ac:dyDescent="0.3">
      <c r="C103" s="211" t="s">
        <v>117</v>
      </c>
      <c r="D103" s="212">
        <f>AVERAGE(E91:E94,G91:G94)</f>
        <v>21026575.709648248</v>
      </c>
      <c r="F103" s="158"/>
      <c r="G103" s="213"/>
      <c r="H103" s="140"/>
      <c r="J103" s="214"/>
    </row>
    <row r="104" spans="1:10" ht="18.75" x14ac:dyDescent="0.3">
      <c r="C104" s="184" t="s">
        <v>84</v>
      </c>
      <c r="D104" s="215">
        <f>STDEV(E91:E94,G91:G94)/D103</f>
        <v>6.2944947947573054E-3</v>
      </c>
      <c r="F104" s="158"/>
      <c r="H104" s="140"/>
      <c r="J104" s="214"/>
    </row>
    <row r="105" spans="1:10" ht="19.5" customHeight="1" thickBot="1" x14ac:dyDescent="0.35">
      <c r="C105" s="186" t="s">
        <v>20</v>
      </c>
      <c r="D105" s="216">
        <f>COUNT(E91:E94,G91:G94)</f>
        <v>6</v>
      </c>
      <c r="F105" s="158"/>
      <c r="H105" s="140"/>
      <c r="J105" s="214"/>
    </row>
    <row r="106" spans="1:10" ht="19.5" customHeight="1" thickBot="1" x14ac:dyDescent="0.35">
      <c r="A106" s="162"/>
      <c r="B106" s="162"/>
      <c r="C106" s="162"/>
      <c r="D106" s="162"/>
      <c r="E106" s="162"/>
    </row>
    <row r="107" spans="1:10" ht="26.25" customHeight="1" x14ac:dyDescent="0.4">
      <c r="A107" s="114" t="s">
        <v>118</v>
      </c>
      <c r="B107" s="115">
        <v>900</v>
      </c>
      <c r="C107" s="258" t="s">
        <v>119</v>
      </c>
      <c r="D107" s="217" t="s">
        <v>63</v>
      </c>
      <c r="E107" s="218" t="s">
        <v>120</v>
      </c>
      <c r="F107" s="219" t="s">
        <v>121</v>
      </c>
    </row>
    <row r="108" spans="1:10" ht="26.25" customHeight="1" x14ac:dyDescent="0.4">
      <c r="A108" s="116" t="s">
        <v>122</v>
      </c>
      <c r="B108" s="117">
        <v>1</v>
      </c>
      <c r="C108" s="220">
        <v>1</v>
      </c>
      <c r="D108" s="221">
        <v>20667439</v>
      </c>
      <c r="E108" s="250">
        <f t="shared" ref="E108:E113" si="1">IF(ISBLANK(D108),"-",D108/$D$103*$D$100*$B$116)</f>
        <v>58.975192020020302</v>
      </c>
      <c r="F108" s="222">
        <f t="shared" ref="F108:F113" si="2">IF(ISBLANK(D108), "-", E108/$B$56)</f>
        <v>0.9829198670003384</v>
      </c>
    </row>
    <row r="109" spans="1:10" ht="26.25" customHeight="1" x14ac:dyDescent="0.4">
      <c r="A109" s="116" t="s">
        <v>95</v>
      </c>
      <c r="B109" s="117">
        <v>1</v>
      </c>
      <c r="C109" s="220">
        <v>2</v>
      </c>
      <c r="D109" s="221">
        <v>20731903</v>
      </c>
      <c r="E109" s="251">
        <f t="shared" si="1"/>
        <v>59.159142086517583</v>
      </c>
      <c r="F109" s="223">
        <f t="shared" si="2"/>
        <v>0.98598570144195974</v>
      </c>
    </row>
    <row r="110" spans="1:10" ht="26.25" customHeight="1" x14ac:dyDescent="0.4">
      <c r="A110" s="116" t="s">
        <v>96</v>
      </c>
      <c r="B110" s="117">
        <v>1</v>
      </c>
      <c r="C110" s="220">
        <v>3</v>
      </c>
      <c r="D110" s="221">
        <v>20759943</v>
      </c>
      <c r="E110" s="251">
        <f t="shared" si="1"/>
        <v>59.239155114945611</v>
      </c>
      <c r="F110" s="223">
        <f t="shared" si="2"/>
        <v>0.9873192519157602</v>
      </c>
    </row>
    <row r="111" spans="1:10" ht="26.25" customHeight="1" x14ac:dyDescent="0.4">
      <c r="A111" s="116" t="s">
        <v>97</v>
      </c>
      <c r="B111" s="117">
        <v>1</v>
      </c>
      <c r="C111" s="220">
        <v>4</v>
      </c>
      <c r="D111" s="221">
        <v>20603733</v>
      </c>
      <c r="E111" s="251">
        <f t="shared" si="1"/>
        <v>58.793404930539722</v>
      </c>
      <c r="F111" s="223">
        <f t="shared" si="2"/>
        <v>0.97989008217566209</v>
      </c>
    </row>
    <row r="112" spans="1:10" ht="26.25" customHeight="1" x14ac:dyDescent="0.4">
      <c r="A112" s="116" t="s">
        <v>98</v>
      </c>
      <c r="B112" s="117">
        <v>1</v>
      </c>
      <c r="C112" s="220">
        <v>5</v>
      </c>
      <c r="D112" s="221">
        <v>20740201</v>
      </c>
      <c r="E112" s="251">
        <f t="shared" si="1"/>
        <v>59.182820692433985</v>
      </c>
      <c r="F112" s="223">
        <f t="shared" si="2"/>
        <v>0.98638034487389981</v>
      </c>
    </row>
    <row r="113" spans="1:10" ht="26.25" customHeight="1" x14ac:dyDescent="0.4">
      <c r="A113" s="116" t="s">
        <v>100</v>
      </c>
      <c r="B113" s="117">
        <v>1</v>
      </c>
      <c r="C113" s="224">
        <v>6</v>
      </c>
      <c r="D113" s="225">
        <v>20718070</v>
      </c>
      <c r="E113" s="252">
        <f t="shared" si="1"/>
        <v>59.119669182728543</v>
      </c>
      <c r="F113" s="226">
        <f t="shared" si="2"/>
        <v>0.98532781971214234</v>
      </c>
    </row>
    <row r="114" spans="1:10" ht="26.25" customHeight="1" x14ac:dyDescent="0.4">
      <c r="A114" s="116" t="s">
        <v>101</v>
      </c>
      <c r="B114" s="117">
        <v>1</v>
      </c>
      <c r="C114" s="220"/>
      <c r="D114" s="203"/>
      <c r="E114" s="188"/>
      <c r="F114" s="227"/>
    </row>
    <row r="115" spans="1:10" ht="26.25" customHeight="1" x14ac:dyDescent="0.4">
      <c r="A115" s="116" t="s">
        <v>102</v>
      </c>
      <c r="B115" s="117">
        <v>1</v>
      </c>
      <c r="C115" s="220"/>
      <c r="D115" s="228" t="s">
        <v>71</v>
      </c>
      <c r="E115" s="254">
        <f>AVERAGE(E108:E113)</f>
        <v>59.078230671197637</v>
      </c>
      <c r="F115" s="229">
        <f>AVERAGE(F108:F113)</f>
        <v>0.98463717785329374</v>
      </c>
    </row>
    <row r="116" spans="1:10" ht="27" customHeight="1" thickBot="1" x14ac:dyDescent="0.45">
      <c r="A116" s="116" t="s">
        <v>103</v>
      </c>
      <c r="B116" s="145">
        <f>(B115/B114)*(B113/B112)*(B111/B110)*(B109/B108)*B107</f>
        <v>900</v>
      </c>
      <c r="C116" s="230"/>
      <c r="D116" s="195" t="s">
        <v>84</v>
      </c>
      <c r="E116" s="231">
        <f>STDEV(E108:E113)/E115</f>
        <v>2.8002549749837069E-3</v>
      </c>
      <c r="F116" s="231">
        <f>STDEV(F108:F113)/F115</f>
        <v>2.8002549749836943E-3</v>
      </c>
      <c r="I116" s="188"/>
    </row>
    <row r="117" spans="1:10" ht="27" customHeight="1" thickBot="1" x14ac:dyDescent="0.45">
      <c r="A117" s="266" t="s">
        <v>78</v>
      </c>
      <c r="B117" s="270"/>
      <c r="C117" s="232"/>
      <c r="D117" s="233" t="s">
        <v>20</v>
      </c>
      <c r="E117" s="234">
        <f>COUNT(E108:E113)</f>
        <v>6</v>
      </c>
      <c r="F117" s="234">
        <f>COUNT(F108:F113)</f>
        <v>6</v>
      </c>
      <c r="I117" s="188"/>
      <c r="J117" s="214"/>
    </row>
    <row r="118" spans="1:10" ht="19.5" customHeight="1" thickBot="1" x14ac:dyDescent="0.35">
      <c r="A118" s="268"/>
      <c r="B118" s="271"/>
      <c r="C118" s="188"/>
      <c r="D118" s="188"/>
      <c r="E118" s="188"/>
      <c r="F118" s="203"/>
      <c r="G118" s="188"/>
      <c r="H118" s="188"/>
      <c r="I118" s="188"/>
    </row>
    <row r="119" spans="1:10" ht="18.75" x14ac:dyDescent="0.3">
      <c r="A119" s="241"/>
      <c r="B119" s="112"/>
      <c r="C119" s="188"/>
      <c r="D119" s="188"/>
      <c r="E119" s="188"/>
      <c r="F119" s="203"/>
      <c r="G119" s="188"/>
      <c r="H119" s="188"/>
      <c r="I119" s="188"/>
    </row>
    <row r="120" spans="1:10" ht="26.25" customHeight="1" x14ac:dyDescent="0.4">
      <c r="A120" s="237" t="s">
        <v>106</v>
      </c>
      <c r="B120" s="195" t="s">
        <v>123</v>
      </c>
      <c r="C120" s="272" t="str">
        <f>B20</f>
        <v>Rifampicin</v>
      </c>
      <c r="D120" s="272"/>
      <c r="E120" s="188" t="s">
        <v>124</v>
      </c>
      <c r="F120" s="188"/>
      <c r="G120" s="189">
        <f>F115</f>
        <v>0.98463717785329374</v>
      </c>
      <c r="H120" s="188"/>
      <c r="I120" s="188"/>
    </row>
    <row r="121" spans="1:10" ht="19.5" customHeight="1" thickBot="1" x14ac:dyDescent="0.35">
      <c r="A121" s="262"/>
      <c r="B121" s="262"/>
      <c r="C121" s="235"/>
      <c r="D121" s="235"/>
      <c r="E121" s="235"/>
      <c r="F121" s="235"/>
      <c r="G121" s="235"/>
      <c r="H121" s="235"/>
    </row>
    <row r="122" spans="1:10" ht="18.75" x14ac:dyDescent="0.3">
      <c r="B122" s="273" t="s">
        <v>26</v>
      </c>
      <c r="C122" s="273"/>
      <c r="E122" s="261" t="s">
        <v>27</v>
      </c>
      <c r="F122" s="236"/>
      <c r="G122" s="273" t="s">
        <v>28</v>
      </c>
      <c r="H122" s="273"/>
    </row>
    <row r="123" spans="1:10" ht="69.95" customHeight="1" x14ac:dyDescent="0.3">
      <c r="A123" s="237" t="s">
        <v>29</v>
      </c>
      <c r="B123" s="238"/>
      <c r="C123" s="238"/>
      <c r="E123" s="238"/>
      <c r="F123" s="188"/>
      <c r="G123" s="238"/>
      <c r="H123" s="238"/>
    </row>
    <row r="124" spans="1:10" ht="69.95" customHeight="1" x14ac:dyDescent="0.3">
      <c r="A124" s="237" t="s">
        <v>30</v>
      </c>
      <c r="B124" s="239"/>
      <c r="C124" s="239"/>
      <c r="E124" s="239"/>
      <c r="F124" s="188"/>
      <c r="G124" s="240"/>
      <c r="H124" s="240"/>
    </row>
    <row r="125" spans="1:10" ht="18.75" x14ac:dyDescent="0.3">
      <c r="A125" s="203"/>
      <c r="B125" s="203"/>
      <c r="C125" s="203"/>
      <c r="D125" s="203"/>
      <c r="E125" s="203"/>
      <c r="F125" s="185"/>
      <c r="G125" s="203"/>
      <c r="H125" s="203"/>
      <c r="I125" s="188"/>
    </row>
    <row r="126" spans="1:10" ht="18.75" x14ac:dyDescent="0.3">
      <c r="A126" s="203"/>
      <c r="B126" s="203"/>
      <c r="C126" s="203"/>
      <c r="D126" s="203"/>
      <c r="E126" s="203"/>
      <c r="F126" s="185"/>
      <c r="G126" s="203"/>
      <c r="H126" s="203"/>
      <c r="I126" s="188"/>
    </row>
    <row r="127" spans="1:10" ht="18.75" x14ac:dyDescent="0.3">
      <c r="A127" s="203"/>
      <c r="B127" s="203"/>
      <c r="C127" s="203"/>
      <c r="D127" s="203"/>
      <c r="E127" s="203"/>
      <c r="F127" s="185"/>
      <c r="G127" s="203"/>
      <c r="H127" s="203"/>
      <c r="I127" s="188"/>
    </row>
    <row r="128" spans="1:10" ht="18.75" x14ac:dyDescent="0.3">
      <c r="A128" s="203"/>
      <c r="B128" s="203"/>
      <c r="C128" s="203"/>
      <c r="D128" s="203"/>
      <c r="E128" s="203"/>
      <c r="F128" s="185"/>
      <c r="G128" s="203"/>
      <c r="H128" s="203"/>
      <c r="I128" s="188"/>
    </row>
    <row r="129" spans="1:9" ht="18.75" x14ac:dyDescent="0.3">
      <c r="A129" s="203"/>
      <c r="B129" s="203"/>
      <c r="C129" s="203"/>
      <c r="D129" s="203"/>
      <c r="E129" s="203"/>
      <c r="F129" s="185"/>
      <c r="G129" s="203"/>
      <c r="H129" s="203"/>
      <c r="I129" s="188"/>
    </row>
    <row r="130" spans="1:9" ht="18.75" x14ac:dyDescent="0.3">
      <c r="A130" s="203"/>
      <c r="B130" s="203"/>
      <c r="C130" s="203"/>
      <c r="D130" s="203"/>
      <c r="E130" s="203"/>
      <c r="F130" s="185"/>
      <c r="G130" s="203"/>
      <c r="H130" s="203"/>
      <c r="I130" s="188"/>
    </row>
    <row r="131" spans="1:9" ht="18.75" x14ac:dyDescent="0.3">
      <c r="A131" s="203"/>
      <c r="B131" s="203"/>
      <c r="C131" s="203"/>
      <c r="D131" s="203"/>
      <c r="E131" s="203"/>
      <c r="F131" s="185"/>
      <c r="G131" s="203"/>
      <c r="H131" s="203"/>
      <c r="I131" s="188"/>
    </row>
    <row r="132" spans="1:9" ht="18.75" x14ac:dyDescent="0.3">
      <c r="A132" s="203"/>
      <c r="B132" s="203"/>
      <c r="C132" s="203"/>
      <c r="D132" s="203"/>
      <c r="E132" s="203"/>
      <c r="F132" s="185"/>
      <c r="G132" s="203"/>
      <c r="H132" s="203"/>
      <c r="I132" s="188"/>
    </row>
    <row r="133" spans="1:9" ht="18.75" x14ac:dyDescent="0.3">
      <c r="A133" s="203"/>
      <c r="B133" s="203"/>
      <c r="C133" s="203"/>
      <c r="D133" s="203"/>
      <c r="E133" s="203"/>
      <c r="F133" s="185"/>
      <c r="G133" s="203"/>
      <c r="H133" s="203"/>
      <c r="I133" s="188"/>
    </row>
    <row r="250" spans="1:1" x14ac:dyDescent="0.25">
      <c r="A250" s="206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22" workbookViewId="0">
      <selection activeCell="D27" sqref="D27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307" t="s">
        <v>31</v>
      </c>
      <c r="B11" s="308"/>
      <c r="C11" s="308"/>
      <c r="D11" s="308"/>
      <c r="E11" s="308"/>
      <c r="F11" s="309"/>
      <c r="G11" s="91"/>
    </row>
    <row r="12" spans="1:7" ht="16.5" customHeight="1" x14ac:dyDescent="0.3">
      <c r="A12" s="306" t="s">
        <v>32</v>
      </c>
      <c r="B12" s="306"/>
      <c r="C12" s="306"/>
      <c r="D12" s="306"/>
      <c r="E12" s="306"/>
      <c r="F12" s="306"/>
      <c r="G12" s="90"/>
    </row>
    <row r="14" spans="1:7" ht="16.5" customHeight="1" x14ac:dyDescent="0.3">
      <c r="A14" s="311" t="s">
        <v>33</v>
      </c>
      <c r="B14" s="311"/>
      <c r="C14" s="60" t="s">
        <v>5</v>
      </c>
    </row>
    <row r="15" spans="1:7" ht="16.5" customHeight="1" x14ac:dyDescent="0.3">
      <c r="A15" s="311" t="s">
        <v>34</v>
      </c>
      <c r="B15" s="311"/>
      <c r="C15" s="60" t="s">
        <v>7</v>
      </c>
    </row>
    <row r="16" spans="1:7" ht="16.5" customHeight="1" x14ac:dyDescent="0.3">
      <c r="A16" s="311" t="s">
        <v>35</v>
      </c>
      <c r="B16" s="311"/>
      <c r="C16" s="60" t="s">
        <v>9</v>
      </c>
    </row>
    <row r="17" spans="1:5" ht="16.5" customHeight="1" x14ac:dyDescent="0.3">
      <c r="A17" s="311" t="s">
        <v>36</v>
      </c>
      <c r="B17" s="311"/>
      <c r="C17" s="60" t="s">
        <v>11</v>
      </c>
    </row>
    <row r="18" spans="1:5" ht="16.5" customHeight="1" x14ac:dyDescent="0.3">
      <c r="A18" s="311" t="s">
        <v>37</v>
      </c>
      <c r="B18" s="311"/>
      <c r="C18" s="97" t="s">
        <v>12</v>
      </c>
    </row>
    <row r="19" spans="1:5" ht="16.5" customHeight="1" x14ac:dyDescent="0.3">
      <c r="A19" s="311" t="s">
        <v>38</v>
      </c>
      <c r="B19" s="31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306" t="s">
        <v>1</v>
      </c>
      <c r="B21" s="306"/>
      <c r="C21" s="59" t="s">
        <v>39</v>
      </c>
      <c r="D21" s="66"/>
    </row>
    <row r="22" spans="1:5" ht="15.75" customHeight="1" x14ac:dyDescent="0.3">
      <c r="A22" s="310"/>
      <c r="B22" s="310"/>
      <c r="C22" s="57"/>
      <c r="D22" s="310"/>
      <c r="E22" s="310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234.66</v>
      </c>
      <c r="D24" s="87">
        <f t="shared" ref="D24:D43" si="0">(C24-$C$46)/$C$46</f>
        <v>1.2160000000002282E-3</v>
      </c>
      <c r="E24" s="53"/>
    </row>
    <row r="25" spans="1:5" ht="15.75" customHeight="1" x14ac:dyDescent="0.3">
      <c r="C25" s="95">
        <v>234.7</v>
      </c>
      <c r="D25" s="88">
        <f t="shared" si="0"/>
        <v>1.386666666666861E-3</v>
      </c>
      <c r="E25" s="53"/>
    </row>
    <row r="26" spans="1:5" ht="15.75" customHeight="1" x14ac:dyDescent="0.3">
      <c r="C26" s="95">
        <v>233.81</v>
      </c>
      <c r="D26" s="88">
        <f t="shared" si="0"/>
        <v>-2.4106666666664149E-3</v>
      </c>
      <c r="E26" s="53"/>
    </row>
    <row r="27" spans="1:5" ht="15.75" customHeight="1" x14ac:dyDescent="0.3">
      <c r="C27" s="95">
        <v>235.01</v>
      </c>
      <c r="D27" s="88">
        <f t="shared" si="0"/>
        <v>2.7093333333335378E-3</v>
      </c>
      <c r="E27" s="53"/>
    </row>
    <row r="28" spans="1:5" ht="15.75" customHeight="1" x14ac:dyDescent="0.3">
      <c r="C28" s="95">
        <v>235.53</v>
      </c>
      <c r="D28" s="88">
        <f t="shared" si="0"/>
        <v>4.9280000000002482E-3</v>
      </c>
      <c r="E28" s="53"/>
    </row>
    <row r="29" spans="1:5" ht="15.75" customHeight="1" x14ac:dyDescent="0.3">
      <c r="C29" s="95">
        <v>234.63</v>
      </c>
      <c r="D29" s="88">
        <f t="shared" si="0"/>
        <v>1.0880000000002233E-3</v>
      </c>
      <c r="E29" s="53"/>
    </row>
    <row r="30" spans="1:5" ht="15.75" customHeight="1" x14ac:dyDescent="0.3">
      <c r="C30" s="95">
        <v>233.83</v>
      </c>
      <c r="D30" s="88">
        <f t="shared" si="0"/>
        <v>-2.325333333333038E-3</v>
      </c>
      <c r="E30" s="53"/>
    </row>
    <row r="31" spans="1:5" ht="15.75" customHeight="1" x14ac:dyDescent="0.3">
      <c r="C31" s="95">
        <v>231.97</v>
      </c>
      <c r="D31" s="88">
        <f t="shared" si="0"/>
        <v>-1.0261333333333098E-2</v>
      </c>
      <c r="E31" s="53"/>
    </row>
    <row r="32" spans="1:5" ht="15.75" customHeight="1" x14ac:dyDescent="0.3">
      <c r="C32" s="95">
        <v>233.65</v>
      </c>
      <c r="D32" s="88">
        <f t="shared" si="0"/>
        <v>-3.0933333333330675E-3</v>
      </c>
      <c r="E32" s="53"/>
    </row>
    <row r="33" spans="1:7" ht="15.75" customHeight="1" x14ac:dyDescent="0.3">
      <c r="C33" s="95">
        <v>234.49</v>
      </c>
      <c r="D33" s="88">
        <f t="shared" si="0"/>
        <v>4.9066666666694816E-4</v>
      </c>
      <c r="E33" s="53"/>
    </row>
    <row r="34" spans="1:7" ht="15.75" customHeight="1" x14ac:dyDescent="0.3">
      <c r="C34" s="95">
        <v>233.64</v>
      </c>
      <c r="D34" s="88">
        <f t="shared" si="0"/>
        <v>-3.1359999999998165E-3</v>
      </c>
      <c r="E34" s="53"/>
    </row>
    <row r="35" spans="1:7" ht="15.75" customHeight="1" x14ac:dyDescent="0.3">
      <c r="C35" s="95">
        <v>234.97</v>
      </c>
      <c r="D35" s="88">
        <f t="shared" si="0"/>
        <v>2.538666666666905E-3</v>
      </c>
      <c r="E35" s="53"/>
    </row>
    <row r="36" spans="1:7" ht="15.75" customHeight="1" x14ac:dyDescent="0.3">
      <c r="C36" s="95">
        <v>232.5</v>
      </c>
      <c r="D36" s="88">
        <f t="shared" si="0"/>
        <v>-7.999999999999759E-3</v>
      </c>
      <c r="E36" s="53"/>
    </row>
    <row r="37" spans="1:7" ht="15.75" customHeight="1" x14ac:dyDescent="0.3">
      <c r="C37" s="95">
        <v>233.69</v>
      </c>
      <c r="D37" s="88">
        <f t="shared" si="0"/>
        <v>-2.9226666666664347E-3</v>
      </c>
      <c r="E37" s="53"/>
    </row>
    <row r="38" spans="1:7" ht="15.75" customHeight="1" x14ac:dyDescent="0.3">
      <c r="C38" s="95">
        <v>238.92</v>
      </c>
      <c r="D38" s="88">
        <f t="shared" si="0"/>
        <v>1.9392000000000194E-2</v>
      </c>
      <c r="E38" s="53"/>
    </row>
    <row r="39" spans="1:7" ht="15.75" customHeight="1" x14ac:dyDescent="0.3">
      <c r="C39" s="95">
        <v>233.92</v>
      </c>
      <c r="D39" s="88">
        <f t="shared" si="0"/>
        <v>-1.9413333333331447E-3</v>
      </c>
      <c r="E39" s="53"/>
    </row>
    <row r="40" spans="1:7" ht="15.75" customHeight="1" x14ac:dyDescent="0.3">
      <c r="C40" s="95">
        <v>236.23</v>
      </c>
      <c r="D40" s="88">
        <f t="shared" si="0"/>
        <v>7.9146666666668683E-3</v>
      </c>
      <c r="E40" s="53"/>
    </row>
    <row r="41" spans="1:7" ht="15.75" customHeight="1" x14ac:dyDescent="0.3">
      <c r="C41" s="95">
        <v>234.19</v>
      </c>
      <c r="D41" s="88">
        <f t="shared" si="0"/>
        <v>-7.8933333333310073E-4</v>
      </c>
      <c r="E41" s="53"/>
    </row>
    <row r="42" spans="1:7" ht="15.75" customHeight="1" x14ac:dyDescent="0.3">
      <c r="C42" s="95">
        <v>232.86</v>
      </c>
      <c r="D42" s="88">
        <f t="shared" si="0"/>
        <v>-6.4639999999997009E-3</v>
      </c>
      <c r="E42" s="53"/>
    </row>
    <row r="43" spans="1:7" ht="16.5" customHeight="1" x14ac:dyDescent="0.3">
      <c r="C43" s="96">
        <v>234.3</v>
      </c>
      <c r="D43" s="89">
        <f t="shared" si="0"/>
        <v>-3.1999999999970903E-4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4687.4999999999991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234.37499999999994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304">
        <f>C46</f>
        <v>234.37499999999994</v>
      </c>
      <c r="C49" s="93">
        <f>-IF(C46&lt;=80,10%,IF(C46&lt;250,7.5%,5%))</f>
        <v>-7.4999999999999997E-2</v>
      </c>
      <c r="D49" s="81">
        <f>IF(C46&lt;=80,C46*0.9,IF(C46&lt;250,C46*0.925,C46*0.95))</f>
        <v>216.79687499999997</v>
      </c>
    </row>
    <row r="50" spans="1:6" ht="17.25" customHeight="1" x14ac:dyDescent="0.3">
      <c r="B50" s="305"/>
      <c r="C50" s="94">
        <f>IF(C46&lt;=80, 10%, IF(C46&lt;250, 7.5%, 5%))</f>
        <v>7.4999999999999997E-2</v>
      </c>
      <c r="D50" s="81">
        <f>IF(C46&lt;=80, C46*1.1, IF(C46&lt;250, C46*1.075, C46*1.05))</f>
        <v>251.95312499999991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3" workbookViewId="0">
      <selection activeCell="D20" sqref="D20"/>
    </sheetView>
  </sheetViews>
  <sheetFormatPr defaultRowHeight="13.5" x14ac:dyDescent="0.25"/>
  <cols>
    <col min="1" max="1" width="27.5703125" style="206" customWidth="1"/>
    <col min="2" max="2" width="20.42578125" style="206" customWidth="1"/>
    <col min="3" max="3" width="31.85546875" style="206" customWidth="1"/>
    <col min="4" max="4" width="25.85546875" style="206" customWidth="1"/>
    <col min="5" max="5" width="25.7109375" style="206" customWidth="1"/>
    <col min="6" max="6" width="23.140625" style="206" customWidth="1"/>
    <col min="7" max="7" width="28.42578125" style="206" customWidth="1"/>
    <col min="8" max="8" width="21.5703125" style="206" customWidth="1"/>
    <col min="9" max="9" width="9.140625" style="206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263" t="s">
        <v>0</v>
      </c>
      <c r="B15" s="263"/>
      <c r="C15" s="263"/>
      <c r="D15" s="263"/>
      <c r="E15" s="263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2"/>
    </row>
    <row r="18" spans="1:5" ht="16.5" customHeight="1" x14ac:dyDescent="0.3">
      <c r="A18" s="75" t="s">
        <v>4</v>
      </c>
      <c r="B18" s="8" t="s">
        <v>128</v>
      </c>
      <c r="C18" s="72"/>
      <c r="D18" s="72"/>
      <c r="E18" s="72"/>
    </row>
    <row r="19" spans="1:5" ht="16.5" customHeight="1" x14ac:dyDescent="0.3">
      <c r="A19" s="75" t="s">
        <v>6</v>
      </c>
      <c r="B19" s="12">
        <v>98.5</v>
      </c>
      <c r="C19" s="72"/>
      <c r="D19" s="72"/>
      <c r="E19" s="72"/>
    </row>
    <row r="20" spans="1:5" ht="16.5" customHeight="1" x14ac:dyDescent="0.3">
      <c r="A20" s="8" t="s">
        <v>8</v>
      </c>
      <c r="B20" s="12">
        <v>8.11</v>
      </c>
      <c r="C20" s="72"/>
      <c r="D20" s="72"/>
      <c r="E20" s="72"/>
    </row>
    <row r="21" spans="1:5" ht="16.5" customHeight="1" x14ac:dyDescent="0.3">
      <c r="A21" s="8" t="s">
        <v>10</v>
      </c>
      <c r="B21" s="13">
        <f>8.11/50*5/25</f>
        <v>3.2439999999999997E-2</v>
      </c>
      <c r="C21" s="72"/>
      <c r="D21" s="72"/>
      <c r="E21" s="72"/>
    </row>
    <row r="22" spans="1:5" ht="15.75" customHeight="1" x14ac:dyDescent="0.25">
      <c r="A22" s="72"/>
      <c r="B22" s="72"/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11244901</v>
      </c>
      <c r="C24" s="18">
        <v>9188.2999999999993</v>
      </c>
      <c r="D24" s="19">
        <v>1.1000000000000001</v>
      </c>
      <c r="E24" s="20">
        <v>2.9</v>
      </c>
    </row>
    <row r="25" spans="1:5" ht="16.5" customHeight="1" x14ac:dyDescent="0.3">
      <c r="A25" s="17">
        <v>2</v>
      </c>
      <c r="B25" s="18">
        <v>11269310</v>
      </c>
      <c r="C25" s="18">
        <v>9195.1</v>
      </c>
      <c r="D25" s="19">
        <v>1.1000000000000001</v>
      </c>
      <c r="E25" s="19">
        <v>2.9</v>
      </c>
    </row>
    <row r="26" spans="1:5" ht="16.5" customHeight="1" x14ac:dyDescent="0.3">
      <c r="A26" s="17">
        <v>3</v>
      </c>
      <c r="B26" s="18">
        <v>11276841</v>
      </c>
      <c r="C26" s="18">
        <v>9203.9</v>
      </c>
      <c r="D26" s="19">
        <v>1.1000000000000001</v>
      </c>
      <c r="E26" s="19">
        <v>2.9</v>
      </c>
    </row>
    <row r="27" spans="1:5" ht="16.5" customHeight="1" x14ac:dyDescent="0.3">
      <c r="A27" s="17">
        <v>4</v>
      </c>
      <c r="B27" s="18">
        <v>11270495</v>
      </c>
      <c r="C27" s="18">
        <v>9199.9</v>
      </c>
      <c r="D27" s="19">
        <v>1.1000000000000001</v>
      </c>
      <c r="E27" s="19">
        <v>2.9</v>
      </c>
    </row>
    <row r="28" spans="1:5" ht="16.5" customHeight="1" x14ac:dyDescent="0.3">
      <c r="A28" s="17">
        <v>5</v>
      </c>
      <c r="B28" s="18">
        <v>11270271</v>
      </c>
      <c r="C28" s="18">
        <v>9161.5</v>
      </c>
      <c r="D28" s="19">
        <v>1.1000000000000001</v>
      </c>
      <c r="E28" s="19">
        <v>2.9</v>
      </c>
    </row>
    <row r="29" spans="1:5" ht="16.5" customHeight="1" x14ac:dyDescent="0.3">
      <c r="A29" s="17">
        <v>6</v>
      </c>
      <c r="B29" s="21">
        <v>11272591</v>
      </c>
      <c r="C29" s="21">
        <v>9180.4</v>
      </c>
      <c r="D29" s="22">
        <v>1.1000000000000001</v>
      </c>
      <c r="E29" s="22">
        <v>2.9</v>
      </c>
    </row>
    <row r="30" spans="1:5" ht="16.5" customHeight="1" x14ac:dyDescent="0.3">
      <c r="A30" s="23" t="s">
        <v>18</v>
      </c>
      <c r="B30" s="24">
        <v>11267401.5</v>
      </c>
      <c r="C30" s="25">
        <v>9188.1833333333343</v>
      </c>
      <c r="D30" s="26">
        <v>1.0999999999999999</v>
      </c>
      <c r="E30" s="26">
        <v>2.9</v>
      </c>
    </row>
    <row r="31" spans="1:5" ht="16.5" customHeight="1" x14ac:dyDescent="0.3">
      <c r="A31" s="27" t="s">
        <v>19</v>
      </c>
      <c r="B31" s="28">
        <f>(STDEV(B24:B29)/B30)</f>
        <v>1.0070501581719027E-3</v>
      </c>
      <c r="C31" s="29"/>
      <c r="D31" s="29"/>
      <c r="E31" s="30"/>
    </row>
    <row r="32" spans="1:5" s="206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206" customFormat="1" ht="15.75" customHeight="1" x14ac:dyDescent="0.25">
      <c r="A33" s="72"/>
      <c r="B33" s="72"/>
      <c r="C33" s="72"/>
      <c r="D33" s="72"/>
      <c r="E33" s="72"/>
    </row>
    <row r="34" spans="1:5" s="206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23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5.75" customHeight="1" x14ac:dyDescent="0.25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59" t="s">
        <v>25</v>
      </c>
    </row>
    <row r="39" spans="1:5" ht="16.5" customHeight="1" x14ac:dyDescent="0.3">
      <c r="A39" s="75" t="s">
        <v>4</v>
      </c>
      <c r="B39" s="8" t="s">
        <v>128</v>
      </c>
      <c r="C39" s="72"/>
      <c r="D39" s="72"/>
      <c r="E39" s="72"/>
    </row>
    <row r="40" spans="1:5" ht="16.5" customHeight="1" x14ac:dyDescent="0.3">
      <c r="A40" s="75" t="s">
        <v>6</v>
      </c>
      <c r="B40" s="12">
        <v>98.5</v>
      </c>
      <c r="C40" s="72"/>
      <c r="D40" s="72"/>
      <c r="E40" s="72"/>
    </row>
    <row r="41" spans="1:5" ht="16.5" customHeight="1" x14ac:dyDescent="0.3">
      <c r="A41" s="8" t="s">
        <v>8</v>
      </c>
      <c r="B41" s="12">
        <v>8.99</v>
      </c>
      <c r="C41" s="72"/>
      <c r="D41" s="72"/>
      <c r="E41" s="72"/>
    </row>
    <row r="42" spans="1:5" ht="16.5" customHeight="1" x14ac:dyDescent="0.3">
      <c r="A42" s="8" t="s">
        <v>10</v>
      </c>
      <c r="B42" s="13">
        <f>8.99/100</f>
        <v>8.9900000000000008E-2</v>
      </c>
      <c r="C42" s="72"/>
      <c r="D42" s="72"/>
      <c r="E42" s="72"/>
    </row>
    <row r="43" spans="1:5" ht="15.75" customHeight="1" x14ac:dyDescent="0.25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>
        <v>29147843</v>
      </c>
      <c r="C45" s="18">
        <v>7569.91</v>
      </c>
      <c r="D45" s="19">
        <v>1.1100000000000001</v>
      </c>
      <c r="E45" s="20">
        <v>2.71</v>
      </c>
    </row>
    <row r="46" spans="1:5" ht="16.5" customHeight="1" x14ac:dyDescent="0.3">
      <c r="A46" s="17">
        <v>2</v>
      </c>
      <c r="B46" s="18">
        <v>29099893</v>
      </c>
      <c r="C46" s="18">
        <v>7595.64</v>
      </c>
      <c r="D46" s="19">
        <v>1.1299999999999999</v>
      </c>
      <c r="E46" s="19">
        <v>2.71</v>
      </c>
    </row>
    <row r="47" spans="1:5" ht="16.5" customHeight="1" x14ac:dyDescent="0.3">
      <c r="A47" s="17">
        <v>3</v>
      </c>
      <c r="B47" s="18">
        <v>29154278</v>
      </c>
      <c r="C47" s="18">
        <v>7652.54</v>
      </c>
      <c r="D47" s="19">
        <v>1.1000000000000001</v>
      </c>
      <c r="E47" s="19">
        <v>2.72</v>
      </c>
    </row>
    <row r="48" spans="1:5" ht="16.5" customHeight="1" x14ac:dyDescent="0.3">
      <c r="A48" s="17">
        <v>4</v>
      </c>
      <c r="B48" s="18">
        <v>29208840</v>
      </c>
      <c r="C48" s="18">
        <v>7660.47</v>
      </c>
      <c r="D48" s="19">
        <v>1.1200000000000001</v>
      </c>
      <c r="E48" s="19">
        <v>2.72</v>
      </c>
    </row>
    <row r="49" spans="1:7" ht="16.5" customHeight="1" x14ac:dyDescent="0.3">
      <c r="A49" s="17">
        <v>5</v>
      </c>
      <c r="B49" s="18">
        <v>28937481</v>
      </c>
      <c r="C49" s="18">
        <v>7671.54</v>
      </c>
      <c r="D49" s="19">
        <v>1.07</v>
      </c>
      <c r="E49" s="19">
        <v>2.71</v>
      </c>
    </row>
    <row r="50" spans="1:7" ht="16.5" customHeight="1" x14ac:dyDescent="0.3">
      <c r="A50" s="17">
        <v>6</v>
      </c>
      <c r="B50" s="21">
        <v>28930411</v>
      </c>
      <c r="C50" s="21">
        <v>7721.44</v>
      </c>
      <c r="D50" s="22">
        <v>1.1000000000000001</v>
      </c>
      <c r="E50" s="22">
        <v>2.71</v>
      </c>
    </row>
    <row r="51" spans="1:7" ht="16.5" customHeight="1" x14ac:dyDescent="0.3">
      <c r="A51" s="23" t="s">
        <v>18</v>
      </c>
      <c r="B51" s="24">
        <f>AVERAGE(B45:B50)</f>
        <v>29079791</v>
      </c>
      <c r="C51" s="25">
        <f>AVERAGE(C45:C50)</f>
        <v>7645.2566666666671</v>
      </c>
      <c r="D51" s="26">
        <f>AVERAGE(D45:D50)</f>
        <v>1.1050000000000002</v>
      </c>
      <c r="E51" s="26">
        <f>AVERAGE(E45:E50)</f>
        <v>2.7133333333333334</v>
      </c>
    </row>
    <row r="52" spans="1:7" ht="16.5" customHeight="1" x14ac:dyDescent="0.3">
      <c r="A52" s="27" t="s">
        <v>19</v>
      </c>
      <c r="B52" s="28">
        <f>(STDEV(B45:B50)/B51)</f>
        <v>4.0631491236362846E-3</v>
      </c>
      <c r="C52" s="29"/>
      <c r="D52" s="29"/>
      <c r="E52" s="30"/>
    </row>
    <row r="53" spans="1:7" s="206" customFormat="1" ht="16.5" customHeight="1" x14ac:dyDescent="0.3">
      <c r="A53" s="31" t="s">
        <v>20</v>
      </c>
      <c r="B53" s="32">
        <f>COUNT(B45:B50)</f>
        <v>6</v>
      </c>
      <c r="C53" s="33"/>
      <c r="D53" s="73"/>
      <c r="E53" s="35"/>
    </row>
    <row r="54" spans="1:7" s="206" customFormat="1" ht="15.75" customHeight="1" x14ac:dyDescent="0.25">
      <c r="A54" s="72"/>
      <c r="B54" s="72"/>
      <c r="C54" s="72"/>
      <c r="D54" s="72"/>
      <c r="E54" s="72"/>
    </row>
    <row r="55" spans="1:7" s="206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23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">
      <c r="A58" s="41"/>
      <c r="B58" s="140"/>
      <c r="D58" s="43"/>
      <c r="F58" s="44"/>
      <c r="G58" s="44"/>
    </row>
    <row r="59" spans="1:7" ht="15" customHeight="1" x14ac:dyDescent="0.3">
      <c r="B59" s="264" t="s">
        <v>26</v>
      </c>
      <c r="C59" s="264"/>
      <c r="E59" s="256" t="s">
        <v>27</v>
      </c>
      <c r="F59" s="46"/>
      <c r="G59" s="256" t="s">
        <v>28</v>
      </c>
    </row>
    <row r="60" spans="1:7" ht="15" customHeight="1" x14ac:dyDescent="0.3">
      <c r="A60" s="47" t="s">
        <v>29</v>
      </c>
      <c r="B60" s="49" t="s">
        <v>130</v>
      </c>
      <c r="C60" s="49"/>
      <c r="E60" s="49" t="s">
        <v>131</v>
      </c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97" zoomScale="60" zoomScaleNormal="40" zoomScalePageLayoutView="60" workbookViewId="0">
      <selection activeCell="F97" sqref="F97"/>
    </sheetView>
  </sheetViews>
  <sheetFormatPr defaultColWidth="9.140625" defaultRowHeight="13.5" x14ac:dyDescent="0.25"/>
  <cols>
    <col min="1" max="1" width="55.42578125" style="206" customWidth="1"/>
    <col min="2" max="2" width="33.7109375" style="206" customWidth="1"/>
    <col min="3" max="3" width="42.28515625" style="206" customWidth="1"/>
    <col min="4" max="4" width="30.5703125" style="206" customWidth="1"/>
    <col min="5" max="5" width="39.85546875" style="206" customWidth="1"/>
    <col min="6" max="6" width="30.7109375" style="206" customWidth="1"/>
    <col min="7" max="7" width="39.85546875" style="206" customWidth="1"/>
    <col min="8" max="8" width="30" style="206" customWidth="1"/>
    <col min="9" max="9" width="30.28515625" style="206" hidden="1" customWidth="1"/>
    <col min="10" max="10" width="30.42578125" style="206" customWidth="1"/>
    <col min="11" max="11" width="21.28515625" style="206" customWidth="1"/>
    <col min="12" max="12" width="9.140625" style="206"/>
    <col min="13" max="16384" width="9.140625" style="44"/>
  </cols>
  <sheetData>
    <row r="1" spans="1:9" ht="18.75" customHeight="1" x14ac:dyDescent="0.25">
      <c r="A1" s="295" t="s">
        <v>45</v>
      </c>
      <c r="B1" s="295"/>
      <c r="C1" s="295"/>
      <c r="D1" s="295"/>
      <c r="E1" s="295"/>
      <c r="F1" s="295"/>
      <c r="G1" s="295"/>
      <c r="H1" s="295"/>
      <c r="I1" s="295"/>
    </row>
    <row r="2" spans="1:9" ht="18.75" customHeight="1" x14ac:dyDescent="0.25">
      <c r="A2" s="295"/>
      <c r="B2" s="295"/>
      <c r="C2" s="295"/>
      <c r="D2" s="295"/>
      <c r="E2" s="295"/>
      <c r="F2" s="295"/>
      <c r="G2" s="295"/>
      <c r="H2" s="295"/>
      <c r="I2" s="295"/>
    </row>
    <row r="3" spans="1:9" ht="18.75" customHeight="1" x14ac:dyDescent="0.25">
      <c r="A3" s="295"/>
      <c r="B3" s="295"/>
      <c r="C3" s="295"/>
      <c r="D3" s="295"/>
      <c r="E3" s="295"/>
      <c r="F3" s="295"/>
      <c r="G3" s="295"/>
      <c r="H3" s="295"/>
      <c r="I3" s="295"/>
    </row>
    <row r="4" spans="1:9" ht="18.75" customHeight="1" x14ac:dyDescent="0.25">
      <c r="A4" s="295"/>
      <c r="B4" s="295"/>
      <c r="C4" s="295"/>
      <c r="D4" s="295"/>
      <c r="E4" s="295"/>
      <c r="F4" s="295"/>
      <c r="G4" s="295"/>
      <c r="H4" s="295"/>
      <c r="I4" s="295"/>
    </row>
    <row r="5" spans="1:9" ht="18.75" customHeight="1" x14ac:dyDescent="0.25">
      <c r="A5" s="295"/>
      <c r="B5" s="295"/>
      <c r="C5" s="295"/>
      <c r="D5" s="295"/>
      <c r="E5" s="295"/>
      <c r="F5" s="295"/>
      <c r="G5" s="295"/>
      <c r="H5" s="295"/>
      <c r="I5" s="295"/>
    </row>
    <row r="6" spans="1:9" ht="18.75" customHeight="1" x14ac:dyDescent="0.25">
      <c r="A6" s="295"/>
      <c r="B6" s="295"/>
      <c r="C6" s="295"/>
      <c r="D6" s="295"/>
      <c r="E6" s="295"/>
      <c r="F6" s="295"/>
      <c r="G6" s="295"/>
      <c r="H6" s="295"/>
      <c r="I6" s="295"/>
    </row>
    <row r="7" spans="1:9" ht="18.75" customHeight="1" x14ac:dyDescent="0.25">
      <c r="A7" s="295"/>
      <c r="B7" s="295"/>
      <c r="C7" s="295"/>
      <c r="D7" s="295"/>
      <c r="E7" s="295"/>
      <c r="F7" s="295"/>
      <c r="G7" s="295"/>
      <c r="H7" s="295"/>
      <c r="I7" s="295"/>
    </row>
    <row r="8" spans="1:9" x14ac:dyDescent="0.25">
      <c r="A8" s="296" t="s">
        <v>46</v>
      </c>
      <c r="B8" s="296"/>
      <c r="C8" s="296"/>
      <c r="D8" s="296"/>
      <c r="E8" s="296"/>
      <c r="F8" s="296"/>
      <c r="G8" s="296"/>
      <c r="H8" s="296"/>
      <c r="I8" s="296"/>
    </row>
    <row r="9" spans="1:9" x14ac:dyDescent="0.25">
      <c r="A9" s="296"/>
      <c r="B9" s="296"/>
      <c r="C9" s="296"/>
      <c r="D9" s="296"/>
      <c r="E9" s="296"/>
      <c r="F9" s="296"/>
      <c r="G9" s="296"/>
      <c r="H9" s="296"/>
      <c r="I9" s="296"/>
    </row>
    <row r="10" spans="1:9" x14ac:dyDescent="0.25">
      <c r="A10" s="296"/>
      <c r="B10" s="296"/>
      <c r="C10" s="296"/>
      <c r="D10" s="296"/>
      <c r="E10" s="296"/>
      <c r="F10" s="296"/>
      <c r="G10" s="296"/>
      <c r="H10" s="296"/>
      <c r="I10" s="296"/>
    </row>
    <row r="11" spans="1:9" x14ac:dyDescent="0.25">
      <c r="A11" s="296"/>
      <c r="B11" s="296"/>
      <c r="C11" s="296"/>
      <c r="D11" s="296"/>
      <c r="E11" s="296"/>
      <c r="F11" s="296"/>
      <c r="G11" s="296"/>
      <c r="H11" s="296"/>
      <c r="I11" s="296"/>
    </row>
    <row r="12" spans="1:9" x14ac:dyDescent="0.25">
      <c r="A12" s="296"/>
      <c r="B12" s="296"/>
      <c r="C12" s="296"/>
      <c r="D12" s="296"/>
      <c r="E12" s="296"/>
      <c r="F12" s="296"/>
      <c r="G12" s="296"/>
      <c r="H12" s="296"/>
      <c r="I12" s="296"/>
    </row>
    <row r="13" spans="1:9" x14ac:dyDescent="0.25">
      <c r="A13" s="296"/>
      <c r="B13" s="296"/>
      <c r="C13" s="296"/>
      <c r="D13" s="296"/>
      <c r="E13" s="296"/>
      <c r="F13" s="296"/>
      <c r="G13" s="296"/>
      <c r="H13" s="296"/>
      <c r="I13" s="296"/>
    </row>
    <row r="14" spans="1:9" x14ac:dyDescent="0.25">
      <c r="A14" s="296"/>
      <c r="B14" s="296"/>
      <c r="C14" s="296"/>
      <c r="D14" s="296"/>
      <c r="E14" s="296"/>
      <c r="F14" s="296"/>
      <c r="G14" s="296"/>
      <c r="H14" s="296"/>
      <c r="I14" s="296"/>
    </row>
    <row r="15" spans="1:9" ht="19.5" customHeight="1" thickBot="1" x14ac:dyDescent="0.35">
      <c r="A15" s="188"/>
    </row>
    <row r="16" spans="1:9" ht="19.5" customHeight="1" thickBot="1" x14ac:dyDescent="0.35">
      <c r="A16" s="297" t="s">
        <v>31</v>
      </c>
      <c r="B16" s="298"/>
      <c r="C16" s="298"/>
      <c r="D16" s="298"/>
      <c r="E16" s="298"/>
      <c r="F16" s="298"/>
      <c r="G16" s="298"/>
      <c r="H16" s="299"/>
    </row>
    <row r="17" spans="1:14" ht="20.25" customHeight="1" x14ac:dyDescent="0.25">
      <c r="A17" s="300" t="s">
        <v>47</v>
      </c>
      <c r="B17" s="300"/>
      <c r="C17" s="300"/>
      <c r="D17" s="300"/>
      <c r="E17" s="300"/>
      <c r="F17" s="300"/>
      <c r="G17" s="300"/>
      <c r="H17" s="300"/>
    </row>
    <row r="18" spans="1:14" ht="26.25" customHeight="1" x14ac:dyDescent="0.4">
      <c r="A18" s="98" t="s">
        <v>33</v>
      </c>
      <c r="B18" s="301" t="s">
        <v>5</v>
      </c>
      <c r="C18" s="301"/>
      <c r="D18" s="242"/>
      <c r="E18" s="99"/>
      <c r="F18" s="255"/>
      <c r="G18" s="255"/>
      <c r="H18" s="255"/>
    </row>
    <row r="19" spans="1:14" ht="26.25" customHeight="1" x14ac:dyDescent="0.4">
      <c r="A19" s="98" t="s">
        <v>34</v>
      </c>
      <c r="B19" s="257" t="s">
        <v>7</v>
      </c>
      <c r="C19" s="255">
        <v>29</v>
      </c>
      <c r="D19" s="255"/>
      <c r="E19" s="255"/>
      <c r="F19" s="255"/>
      <c r="G19" s="255"/>
      <c r="H19" s="255"/>
    </row>
    <row r="20" spans="1:14" ht="26.25" customHeight="1" x14ac:dyDescent="0.4">
      <c r="A20" s="98" t="s">
        <v>35</v>
      </c>
      <c r="B20" s="302" t="s">
        <v>127</v>
      </c>
      <c r="C20" s="302"/>
      <c r="D20" s="255"/>
      <c r="E20" s="255"/>
      <c r="F20" s="255"/>
      <c r="G20" s="255"/>
      <c r="H20" s="255"/>
    </row>
    <row r="21" spans="1:14" ht="26.25" customHeight="1" x14ac:dyDescent="0.4">
      <c r="A21" s="98" t="s">
        <v>36</v>
      </c>
      <c r="B21" s="302" t="s">
        <v>11</v>
      </c>
      <c r="C21" s="302"/>
      <c r="D21" s="302"/>
      <c r="E21" s="302"/>
      <c r="F21" s="302"/>
      <c r="G21" s="302"/>
      <c r="H21" s="302"/>
      <c r="I21" s="100"/>
    </row>
    <row r="22" spans="1:14" ht="26.25" customHeight="1" x14ac:dyDescent="0.4">
      <c r="A22" s="98" t="s">
        <v>37</v>
      </c>
      <c r="B22" s="101">
        <v>42533</v>
      </c>
      <c r="C22" s="255"/>
      <c r="D22" s="255"/>
      <c r="E22" s="255"/>
      <c r="F22" s="255"/>
      <c r="G22" s="255"/>
      <c r="H22" s="255"/>
    </row>
    <row r="23" spans="1:14" ht="26.25" customHeight="1" x14ac:dyDescent="0.4">
      <c r="A23" s="98" t="s">
        <v>38</v>
      </c>
      <c r="B23" s="101">
        <v>42534</v>
      </c>
      <c r="C23" s="255"/>
      <c r="D23" s="255"/>
      <c r="E23" s="255"/>
      <c r="F23" s="255"/>
      <c r="G23" s="255"/>
      <c r="H23" s="255"/>
    </row>
    <row r="24" spans="1:14" ht="18.75" x14ac:dyDescent="0.3">
      <c r="A24" s="98"/>
      <c r="B24" s="102"/>
    </row>
    <row r="25" spans="1:14" ht="18.75" x14ac:dyDescent="0.3">
      <c r="A25" s="103" t="s">
        <v>1</v>
      </c>
      <c r="B25" s="102"/>
    </row>
    <row r="26" spans="1:14" ht="26.25" customHeight="1" x14ac:dyDescent="0.4">
      <c r="A26" s="237" t="s">
        <v>4</v>
      </c>
      <c r="B26" s="301" t="s">
        <v>128</v>
      </c>
      <c r="C26" s="301"/>
    </row>
    <row r="27" spans="1:14" ht="26.25" customHeight="1" x14ac:dyDescent="0.4">
      <c r="A27" s="195" t="s">
        <v>48</v>
      </c>
      <c r="B27" s="303" t="s">
        <v>129</v>
      </c>
      <c r="C27" s="303"/>
    </row>
    <row r="28" spans="1:14" ht="27" customHeight="1" thickBot="1" x14ac:dyDescent="0.45">
      <c r="A28" s="195" t="s">
        <v>6</v>
      </c>
      <c r="B28" s="190">
        <v>98.5</v>
      </c>
    </row>
    <row r="29" spans="1:14" s="16" customFormat="1" ht="27" customHeight="1" thickBot="1" x14ac:dyDescent="0.45">
      <c r="A29" s="195" t="s">
        <v>49</v>
      </c>
      <c r="B29" s="104">
        <v>0</v>
      </c>
      <c r="C29" s="284" t="s">
        <v>50</v>
      </c>
      <c r="D29" s="285"/>
      <c r="E29" s="285"/>
      <c r="F29" s="285"/>
      <c r="G29" s="286"/>
      <c r="I29" s="105"/>
      <c r="J29" s="105"/>
      <c r="K29" s="105"/>
      <c r="L29" s="105"/>
    </row>
    <row r="30" spans="1:14" s="16" customFormat="1" ht="19.5" customHeight="1" thickBot="1" x14ac:dyDescent="0.35">
      <c r="A30" s="195" t="s">
        <v>51</v>
      </c>
      <c r="B30" s="260">
        <f>B28-B29</f>
        <v>98.5</v>
      </c>
      <c r="C30" s="106"/>
      <c r="D30" s="106"/>
      <c r="E30" s="106"/>
      <c r="F30" s="106"/>
      <c r="G30" s="107"/>
      <c r="I30" s="105"/>
      <c r="J30" s="105"/>
      <c r="K30" s="105"/>
      <c r="L30" s="105"/>
    </row>
    <row r="31" spans="1:14" s="16" customFormat="1" ht="27" customHeight="1" thickBot="1" x14ac:dyDescent="0.45">
      <c r="A31" s="195" t="s">
        <v>52</v>
      </c>
      <c r="B31" s="108">
        <v>1</v>
      </c>
      <c r="C31" s="287" t="s">
        <v>53</v>
      </c>
      <c r="D31" s="288"/>
      <c r="E31" s="288"/>
      <c r="F31" s="288"/>
      <c r="G31" s="288"/>
      <c r="H31" s="289"/>
      <c r="I31" s="105"/>
      <c r="J31" s="105"/>
      <c r="K31" s="105"/>
      <c r="L31" s="105"/>
    </row>
    <row r="32" spans="1:14" s="16" customFormat="1" ht="27" customHeight="1" thickBot="1" x14ac:dyDescent="0.45">
      <c r="A32" s="195" t="s">
        <v>54</v>
      </c>
      <c r="B32" s="108">
        <v>1</v>
      </c>
      <c r="C32" s="287" t="s">
        <v>55</v>
      </c>
      <c r="D32" s="288"/>
      <c r="E32" s="288"/>
      <c r="F32" s="288"/>
      <c r="G32" s="288"/>
      <c r="H32" s="289"/>
      <c r="I32" s="105"/>
      <c r="J32" s="105"/>
      <c r="K32" s="105"/>
      <c r="L32" s="109"/>
      <c r="M32" s="109"/>
      <c r="N32" s="110"/>
    </row>
    <row r="33" spans="1:14" s="16" customFormat="1" ht="17.25" customHeight="1" x14ac:dyDescent="0.3">
      <c r="A33" s="195"/>
      <c r="B33" s="111"/>
      <c r="C33" s="112"/>
      <c r="D33" s="112"/>
      <c r="E33" s="112"/>
      <c r="F33" s="112"/>
      <c r="G33" s="112"/>
      <c r="H33" s="112"/>
      <c r="I33" s="105"/>
      <c r="J33" s="105"/>
      <c r="K33" s="105"/>
      <c r="L33" s="109"/>
      <c r="M33" s="109"/>
      <c r="N33" s="110"/>
    </row>
    <row r="34" spans="1:14" s="16" customFormat="1" ht="18.75" x14ac:dyDescent="0.3">
      <c r="A34" s="195" t="s">
        <v>56</v>
      </c>
      <c r="B34" s="113">
        <f>B31/B32</f>
        <v>1</v>
      </c>
      <c r="C34" s="188" t="s">
        <v>57</v>
      </c>
      <c r="D34" s="188"/>
      <c r="E34" s="188"/>
      <c r="F34" s="188"/>
      <c r="G34" s="188"/>
      <c r="I34" s="105"/>
      <c r="J34" s="105"/>
      <c r="K34" s="105"/>
      <c r="L34" s="109"/>
      <c r="M34" s="109"/>
      <c r="N34" s="110"/>
    </row>
    <row r="35" spans="1:14" s="16" customFormat="1" ht="19.5" customHeight="1" thickBot="1" x14ac:dyDescent="0.35">
      <c r="A35" s="195"/>
      <c r="B35" s="260"/>
      <c r="G35" s="188"/>
      <c r="I35" s="105"/>
      <c r="J35" s="105"/>
      <c r="K35" s="105"/>
      <c r="L35" s="109"/>
      <c r="M35" s="109"/>
      <c r="N35" s="110"/>
    </row>
    <row r="36" spans="1:14" s="16" customFormat="1" ht="27" customHeight="1" thickBot="1" x14ac:dyDescent="0.45">
      <c r="A36" s="114" t="s">
        <v>58</v>
      </c>
      <c r="B36" s="115">
        <v>50</v>
      </c>
      <c r="C36" s="188"/>
      <c r="D36" s="274" t="s">
        <v>59</v>
      </c>
      <c r="E36" s="294"/>
      <c r="F36" s="274" t="s">
        <v>60</v>
      </c>
      <c r="G36" s="275"/>
      <c r="J36" s="105"/>
      <c r="K36" s="105"/>
      <c r="L36" s="109"/>
      <c r="M36" s="109"/>
      <c r="N36" s="110"/>
    </row>
    <row r="37" spans="1:14" s="16" customFormat="1" ht="27" customHeight="1" thickBot="1" x14ac:dyDescent="0.45">
      <c r="A37" s="116" t="s">
        <v>61</v>
      </c>
      <c r="B37" s="117">
        <v>5</v>
      </c>
      <c r="C37" s="118" t="s">
        <v>62</v>
      </c>
      <c r="D37" s="119" t="s">
        <v>63</v>
      </c>
      <c r="E37" s="120" t="s">
        <v>64</v>
      </c>
      <c r="F37" s="119" t="s">
        <v>63</v>
      </c>
      <c r="G37" s="121" t="s">
        <v>64</v>
      </c>
      <c r="I37" s="122" t="s">
        <v>65</v>
      </c>
      <c r="J37" s="105"/>
      <c r="K37" s="105"/>
      <c r="L37" s="109"/>
      <c r="M37" s="109"/>
      <c r="N37" s="110"/>
    </row>
    <row r="38" spans="1:14" s="16" customFormat="1" ht="26.25" customHeight="1" x14ac:dyDescent="0.4">
      <c r="A38" s="116" t="s">
        <v>66</v>
      </c>
      <c r="B38" s="117">
        <v>25</v>
      </c>
      <c r="C38" s="123">
        <v>1</v>
      </c>
      <c r="D38" s="124">
        <v>11214252</v>
      </c>
      <c r="E38" s="125">
        <f>IF(ISBLANK(D38),"-",$D$48/$D$45*D38)</f>
        <v>10528693.660142584</v>
      </c>
      <c r="F38" s="124">
        <v>10337907</v>
      </c>
      <c r="G38" s="126">
        <f>IF(ISBLANK(F38),"-",$D$48/$F$45*F38)</f>
        <v>10782880.536819415</v>
      </c>
      <c r="I38" s="127"/>
      <c r="J38" s="105"/>
      <c r="K38" s="105"/>
      <c r="L38" s="109"/>
      <c r="M38" s="109"/>
      <c r="N38" s="110"/>
    </row>
    <row r="39" spans="1:14" s="16" customFormat="1" ht="26.25" customHeight="1" x14ac:dyDescent="0.4">
      <c r="A39" s="116" t="s">
        <v>67</v>
      </c>
      <c r="B39" s="117">
        <v>1</v>
      </c>
      <c r="C39" s="145">
        <v>2</v>
      </c>
      <c r="D39" s="128">
        <v>11231266</v>
      </c>
      <c r="E39" s="129">
        <f>IF(ISBLANK(D39),"-",$D$48/$D$45*D39)</f>
        <v>10544667.547115488</v>
      </c>
      <c r="F39" s="128">
        <v>10337217</v>
      </c>
      <c r="G39" s="130">
        <f>IF(ISBLANK(F39),"-",$D$48/$F$45*F39)</f>
        <v>10782160.837215772</v>
      </c>
      <c r="I39" s="265">
        <f>ABS((F43/D43*D42)-F42)/D42</f>
        <v>2.0647943733206553E-2</v>
      </c>
      <c r="J39" s="105"/>
      <c r="K39" s="105"/>
      <c r="L39" s="109"/>
      <c r="M39" s="109"/>
      <c r="N39" s="110"/>
    </row>
    <row r="40" spans="1:14" ht="26.25" customHeight="1" x14ac:dyDescent="0.4">
      <c r="A40" s="116" t="s">
        <v>68</v>
      </c>
      <c r="B40" s="117">
        <v>1</v>
      </c>
      <c r="C40" s="145">
        <v>3</v>
      </c>
      <c r="D40" s="128">
        <v>11233960</v>
      </c>
      <c r="E40" s="129">
        <f>IF(ISBLANK(D40),"-",$D$48/$D$45*D40)</f>
        <v>10547196.855420707</v>
      </c>
      <c r="F40" s="128">
        <v>10335971</v>
      </c>
      <c r="G40" s="130">
        <f>IF(ISBLANK(F40),"-",$D$48/$F$45*F40)</f>
        <v>10780861.205757597</v>
      </c>
      <c r="I40" s="265"/>
      <c r="L40" s="109"/>
      <c r="M40" s="109"/>
      <c r="N40" s="188"/>
    </row>
    <row r="41" spans="1:14" ht="27" customHeight="1" thickBot="1" x14ac:dyDescent="0.45">
      <c r="A41" s="116" t="s">
        <v>69</v>
      </c>
      <c r="B41" s="117">
        <v>1</v>
      </c>
      <c r="C41" s="131">
        <v>4</v>
      </c>
      <c r="D41" s="132"/>
      <c r="E41" s="133" t="str">
        <f>IF(ISBLANK(D41),"-",$D$48/$D$45*D41)</f>
        <v>-</v>
      </c>
      <c r="F41" s="132"/>
      <c r="G41" s="134" t="str">
        <f>IF(ISBLANK(F41),"-",$D$48/$F$45*F41)</f>
        <v>-</v>
      </c>
      <c r="I41" s="135"/>
      <c r="L41" s="109"/>
      <c r="M41" s="109"/>
      <c r="N41" s="188"/>
    </row>
    <row r="42" spans="1:14" ht="27" customHeight="1" thickBot="1" x14ac:dyDescent="0.45">
      <c r="A42" s="116" t="s">
        <v>70</v>
      </c>
      <c r="B42" s="117">
        <v>1</v>
      </c>
      <c r="C42" s="136" t="s">
        <v>71</v>
      </c>
      <c r="D42" s="137">
        <f>AVERAGE(D38:D41)</f>
        <v>11226492.666666666</v>
      </c>
      <c r="E42" s="138">
        <f>AVERAGE(E38:E41)</f>
        <v>10540186.020892926</v>
      </c>
      <c r="F42" s="137">
        <f>AVERAGE(F38:F41)</f>
        <v>10337031.666666666</v>
      </c>
      <c r="G42" s="139">
        <f>AVERAGE(G38:G41)</f>
        <v>10781967.526597595</v>
      </c>
      <c r="H42" s="140"/>
    </row>
    <row r="43" spans="1:14" ht="26.25" customHeight="1" x14ac:dyDescent="0.4">
      <c r="A43" s="116" t="s">
        <v>72</v>
      </c>
      <c r="B43" s="117">
        <v>1</v>
      </c>
      <c r="C43" s="141" t="s">
        <v>73</v>
      </c>
      <c r="D43" s="142">
        <v>8.11</v>
      </c>
      <c r="E43" s="188"/>
      <c r="F43" s="142">
        <v>7.3</v>
      </c>
      <c r="H43" s="140"/>
    </row>
    <row r="44" spans="1:14" ht="26.25" customHeight="1" x14ac:dyDescent="0.4">
      <c r="A44" s="116" t="s">
        <v>74</v>
      </c>
      <c r="B44" s="117">
        <v>1</v>
      </c>
      <c r="C44" s="143" t="s">
        <v>75</v>
      </c>
      <c r="D44" s="144">
        <f>D43*$B$34</f>
        <v>8.11</v>
      </c>
      <c r="E44" s="203"/>
      <c r="F44" s="144">
        <f>F43*$B$34</f>
        <v>7.3</v>
      </c>
      <c r="H44" s="140"/>
    </row>
    <row r="45" spans="1:14" ht="19.5" customHeight="1" thickBot="1" x14ac:dyDescent="0.35">
      <c r="A45" s="116" t="s">
        <v>76</v>
      </c>
      <c r="B45" s="145">
        <f>(B44/B43)*(B42/B41)*(B40/B39)*(B38/B37)*B36</f>
        <v>250</v>
      </c>
      <c r="C45" s="143" t="s">
        <v>77</v>
      </c>
      <c r="D45" s="146">
        <f>D44*$B$30/100</f>
        <v>7.9883499999999996</v>
      </c>
      <c r="E45" s="185"/>
      <c r="F45" s="146">
        <f>F44*$B$30/100</f>
        <v>7.1904999999999992</v>
      </c>
      <c r="H45" s="140"/>
    </row>
    <row r="46" spans="1:14" ht="19.5" customHeight="1" thickBot="1" x14ac:dyDescent="0.35">
      <c r="A46" s="266" t="s">
        <v>78</v>
      </c>
      <c r="B46" s="270"/>
      <c r="C46" s="143" t="s">
        <v>79</v>
      </c>
      <c r="D46" s="147">
        <f>D45/$B$45</f>
        <v>3.19534E-2</v>
      </c>
      <c r="E46" s="148"/>
      <c r="F46" s="149">
        <f>F45/$B$45</f>
        <v>2.8761999999999996E-2</v>
      </c>
      <c r="H46" s="140"/>
    </row>
    <row r="47" spans="1:14" ht="27" customHeight="1" thickBot="1" x14ac:dyDescent="0.45">
      <c r="A47" s="268"/>
      <c r="B47" s="271"/>
      <c r="C47" s="150" t="s">
        <v>80</v>
      </c>
      <c r="D47" s="151">
        <v>0.03</v>
      </c>
      <c r="E47" s="152"/>
      <c r="F47" s="148"/>
      <c r="H47" s="140"/>
    </row>
    <row r="48" spans="1:14" ht="18.75" x14ac:dyDescent="0.3">
      <c r="C48" s="153" t="s">
        <v>81</v>
      </c>
      <c r="D48" s="146">
        <f>D47*$B$45</f>
        <v>7.5</v>
      </c>
      <c r="F48" s="154"/>
      <c r="H48" s="140"/>
    </row>
    <row r="49" spans="1:12" ht="19.5" customHeight="1" thickBot="1" x14ac:dyDescent="0.35">
      <c r="C49" s="155" t="s">
        <v>82</v>
      </c>
      <c r="D49" s="156">
        <f>D48/B34</f>
        <v>7.5</v>
      </c>
      <c r="F49" s="154"/>
      <c r="H49" s="140"/>
    </row>
    <row r="50" spans="1:12" ht="18.75" x14ac:dyDescent="0.3">
      <c r="C50" s="114" t="s">
        <v>83</v>
      </c>
      <c r="D50" s="157">
        <f>AVERAGE(E38:E41,G38:G41)</f>
        <v>10661076.773745259</v>
      </c>
      <c r="F50" s="158"/>
      <c r="H50" s="140"/>
    </row>
    <row r="51" spans="1:12" ht="18.75" x14ac:dyDescent="0.3">
      <c r="C51" s="116" t="s">
        <v>84</v>
      </c>
      <c r="D51" s="159">
        <f>STDEV(E38:E41,G38:G41)/D50</f>
        <v>1.2436144482098406E-2</v>
      </c>
      <c r="F51" s="158"/>
      <c r="H51" s="140"/>
    </row>
    <row r="52" spans="1:12" ht="19.5" customHeight="1" thickBot="1" x14ac:dyDescent="0.35">
      <c r="C52" s="160" t="s">
        <v>20</v>
      </c>
      <c r="D52" s="161">
        <f>COUNT(E38:E41,G38:G41)</f>
        <v>6</v>
      </c>
      <c r="F52" s="158"/>
    </row>
    <row r="54" spans="1:12" ht="18.75" x14ac:dyDescent="0.3">
      <c r="A54" s="162" t="s">
        <v>1</v>
      </c>
      <c r="B54" s="163" t="s">
        <v>85</v>
      </c>
    </row>
    <row r="55" spans="1:12" ht="18.75" x14ac:dyDescent="0.3">
      <c r="A55" s="188" t="s">
        <v>86</v>
      </c>
      <c r="B55" s="164" t="str">
        <f>B21</f>
        <v>Each Tablet contains: Rifampicin 60mg, Isoniazid 30mg</v>
      </c>
    </row>
    <row r="56" spans="1:12" ht="26.25" customHeight="1" x14ac:dyDescent="0.4">
      <c r="A56" s="164" t="s">
        <v>87</v>
      </c>
      <c r="B56" s="165">
        <v>30</v>
      </c>
      <c r="C56" s="188" t="str">
        <f>B20</f>
        <v xml:space="preserve"> Isoniazid</v>
      </c>
      <c r="H56" s="203"/>
    </row>
    <row r="57" spans="1:12" ht="18.75" x14ac:dyDescent="0.3">
      <c r="A57" s="164" t="s">
        <v>88</v>
      </c>
      <c r="B57" s="243">
        <f>Uniformity!C46</f>
        <v>234.37499999999994</v>
      </c>
      <c r="H57" s="203"/>
    </row>
    <row r="58" spans="1:12" ht="19.5" customHeight="1" thickBot="1" x14ac:dyDescent="0.35">
      <c r="H58" s="203"/>
    </row>
    <row r="59" spans="1:12" s="16" customFormat="1" ht="27" customHeight="1" thickBot="1" x14ac:dyDescent="0.45">
      <c r="A59" s="114" t="s">
        <v>89</v>
      </c>
      <c r="B59" s="115">
        <v>100</v>
      </c>
      <c r="C59" s="188"/>
      <c r="D59" s="166" t="s">
        <v>90</v>
      </c>
      <c r="E59" s="167" t="s">
        <v>62</v>
      </c>
      <c r="F59" s="167" t="s">
        <v>63</v>
      </c>
      <c r="G59" s="167" t="s">
        <v>91</v>
      </c>
      <c r="H59" s="118" t="s">
        <v>92</v>
      </c>
      <c r="L59" s="105"/>
    </row>
    <row r="60" spans="1:12" s="16" customFormat="1" ht="26.25" customHeight="1" x14ac:dyDescent="0.4">
      <c r="A60" s="116" t="s">
        <v>93</v>
      </c>
      <c r="B60" s="117">
        <v>1</v>
      </c>
      <c r="C60" s="276" t="s">
        <v>94</v>
      </c>
      <c r="D60" s="279">
        <v>23.88</v>
      </c>
      <c r="E60" s="168">
        <v>1</v>
      </c>
      <c r="F60" s="169">
        <v>10324778</v>
      </c>
      <c r="G60" s="244">
        <f>IF(ISBLANK(F60),"-",(F60/$D$50*$D$47*$B$68)*($B$57/$D$60))</f>
        <v>28.515294999421236</v>
      </c>
      <c r="H60" s="170">
        <f t="shared" ref="H60:H71" si="0">IF(ISBLANK(F60),"-",G60/$B$56)</f>
        <v>0.95050983331404126</v>
      </c>
      <c r="L60" s="105"/>
    </row>
    <row r="61" spans="1:12" s="16" customFormat="1" ht="26.25" customHeight="1" x14ac:dyDescent="0.4">
      <c r="A61" s="116" t="s">
        <v>95</v>
      </c>
      <c r="B61" s="117">
        <v>1</v>
      </c>
      <c r="C61" s="277"/>
      <c r="D61" s="280"/>
      <c r="E61" s="171">
        <v>2</v>
      </c>
      <c r="F61" s="128">
        <v>10326055</v>
      </c>
      <c r="G61" s="245">
        <f>IF(ISBLANK(F61),"-",(F61/$D$50*$D$47*$B$68)*($B$57/$D$60))</f>
        <v>28.518821857985579</v>
      </c>
      <c r="H61" s="172">
        <f t="shared" si="0"/>
        <v>0.950627395266186</v>
      </c>
      <c r="L61" s="105"/>
    </row>
    <row r="62" spans="1:12" s="16" customFormat="1" ht="26.25" customHeight="1" x14ac:dyDescent="0.4">
      <c r="A62" s="116" t="s">
        <v>96</v>
      </c>
      <c r="B62" s="117">
        <v>1</v>
      </c>
      <c r="C62" s="277"/>
      <c r="D62" s="280"/>
      <c r="E62" s="171">
        <v>3</v>
      </c>
      <c r="F62" s="173">
        <v>10325669</v>
      </c>
      <c r="G62" s="245">
        <f>IF(ISBLANK(F62),"-",(F62/$D$50*$D$47*$B$68)*($B$57/$D$60))</f>
        <v>28.517755791105518</v>
      </c>
      <c r="H62" s="172">
        <f t="shared" si="0"/>
        <v>0.95059185970351723</v>
      </c>
      <c r="L62" s="105"/>
    </row>
    <row r="63" spans="1:12" ht="27" customHeight="1" thickBot="1" x14ac:dyDescent="0.45">
      <c r="A63" s="116" t="s">
        <v>97</v>
      </c>
      <c r="B63" s="117">
        <v>1</v>
      </c>
      <c r="C63" s="278"/>
      <c r="D63" s="281"/>
      <c r="E63" s="174">
        <v>4</v>
      </c>
      <c r="F63" s="175"/>
      <c r="G63" s="245" t="str">
        <f>IF(ISBLANK(F63),"-",(F63/$D$50*$D$47*$B$68)*($B$57/$D$60))</f>
        <v>-</v>
      </c>
      <c r="H63" s="172" t="str">
        <f t="shared" si="0"/>
        <v>-</v>
      </c>
    </row>
    <row r="64" spans="1:12" ht="26.25" customHeight="1" x14ac:dyDescent="0.4">
      <c r="A64" s="116" t="s">
        <v>98</v>
      </c>
      <c r="B64" s="117">
        <v>1</v>
      </c>
      <c r="C64" s="276" t="s">
        <v>99</v>
      </c>
      <c r="D64" s="279">
        <v>22.39</v>
      </c>
      <c r="E64" s="168">
        <v>1</v>
      </c>
      <c r="F64" s="169"/>
      <c r="G64" s="246" t="str">
        <f>IF(ISBLANK(F64),"-",(F64/$D$50*$D$47*$B$68)*($B$57/$D$64))</f>
        <v>-</v>
      </c>
      <c r="H64" s="176" t="str">
        <f t="shared" si="0"/>
        <v>-</v>
      </c>
    </row>
    <row r="65" spans="1:8" ht="26.25" customHeight="1" x14ac:dyDescent="0.4">
      <c r="A65" s="116" t="s">
        <v>100</v>
      </c>
      <c r="B65" s="117">
        <v>1</v>
      </c>
      <c r="C65" s="277"/>
      <c r="D65" s="280"/>
      <c r="E65" s="171">
        <v>2</v>
      </c>
      <c r="F65" s="128"/>
      <c r="G65" s="247" t="str">
        <f>IF(ISBLANK(F65),"-",(F65/$D$50*$D$47*$B$68)*($B$57/$D$64))</f>
        <v>-</v>
      </c>
      <c r="H65" s="177" t="str">
        <f t="shared" si="0"/>
        <v>-</v>
      </c>
    </row>
    <row r="66" spans="1:8" ht="26.25" customHeight="1" x14ac:dyDescent="0.4">
      <c r="A66" s="116" t="s">
        <v>101</v>
      </c>
      <c r="B66" s="117">
        <v>1</v>
      </c>
      <c r="C66" s="277"/>
      <c r="D66" s="280"/>
      <c r="E66" s="171">
        <v>3</v>
      </c>
      <c r="F66" s="128"/>
      <c r="G66" s="247" t="str">
        <f>IF(ISBLANK(F66),"-",(F66/$D$50*$D$47*$B$68)*($B$57/$D$64))</f>
        <v>-</v>
      </c>
      <c r="H66" s="177" t="str">
        <f t="shared" si="0"/>
        <v>-</v>
      </c>
    </row>
    <row r="67" spans="1:8" ht="27" customHeight="1" thickBot="1" x14ac:dyDescent="0.45">
      <c r="A67" s="116" t="s">
        <v>102</v>
      </c>
      <c r="B67" s="117">
        <v>1</v>
      </c>
      <c r="C67" s="278"/>
      <c r="D67" s="281"/>
      <c r="E67" s="174">
        <v>4</v>
      </c>
      <c r="F67" s="175"/>
      <c r="G67" s="248" t="str">
        <f>IF(ISBLANK(F67),"-",(F67/$D$50*$D$47*$B$68)*($B$57/$D$64))</f>
        <v>-</v>
      </c>
      <c r="H67" s="178" t="str">
        <f t="shared" si="0"/>
        <v>-</v>
      </c>
    </row>
    <row r="68" spans="1:8" ht="26.25" customHeight="1" x14ac:dyDescent="0.4">
      <c r="A68" s="116" t="s">
        <v>103</v>
      </c>
      <c r="B68" s="179">
        <f>(B67/B66)*(B65/B64)*(B63/B62)*(B61/B60)*B59</f>
        <v>100</v>
      </c>
      <c r="C68" s="276" t="s">
        <v>104</v>
      </c>
      <c r="D68" s="279">
        <v>21.58</v>
      </c>
      <c r="E68" s="168">
        <v>1</v>
      </c>
      <c r="F68" s="169">
        <v>9206207</v>
      </c>
      <c r="G68" s="246">
        <f>IF(ISBLANK(F68),"-",(F68/$D$50*$D$47*$B$68)*($B$57/$D$68))</f>
        <v>28.135896925704905</v>
      </c>
      <c r="H68" s="172">
        <f t="shared" si="0"/>
        <v>0.93786323085683021</v>
      </c>
    </row>
    <row r="69" spans="1:8" ht="27" customHeight="1" thickBot="1" x14ac:dyDescent="0.45">
      <c r="A69" s="160" t="s">
        <v>105</v>
      </c>
      <c r="B69" s="180">
        <f>(D47*B68)/B56*B57</f>
        <v>23.437499999999996</v>
      </c>
      <c r="C69" s="277"/>
      <c r="D69" s="280"/>
      <c r="E69" s="171">
        <v>2</v>
      </c>
      <c r="F69" s="128">
        <v>9202643</v>
      </c>
      <c r="G69" s="247">
        <f>IF(ISBLANK(F69),"-",(F69/$D$50*$D$47*$B$68)*($B$57/$D$68))</f>
        <v>28.125004672614875</v>
      </c>
      <c r="H69" s="172">
        <f t="shared" si="0"/>
        <v>0.93750015575382917</v>
      </c>
    </row>
    <row r="70" spans="1:8" ht="26.25" customHeight="1" x14ac:dyDescent="0.4">
      <c r="A70" s="290" t="s">
        <v>78</v>
      </c>
      <c r="B70" s="291"/>
      <c r="C70" s="277"/>
      <c r="D70" s="280"/>
      <c r="E70" s="171">
        <v>3</v>
      </c>
      <c r="F70" s="128">
        <v>9216816</v>
      </c>
      <c r="G70" s="247">
        <f>IF(ISBLANK(F70),"-",(F70/$D$50*$D$47*$B$68)*($B$57/$D$68))</f>
        <v>28.168320021392937</v>
      </c>
      <c r="H70" s="172">
        <f t="shared" si="0"/>
        <v>0.93894400071309791</v>
      </c>
    </row>
    <row r="71" spans="1:8" ht="27" customHeight="1" thickBot="1" x14ac:dyDescent="0.45">
      <c r="A71" s="292"/>
      <c r="B71" s="293"/>
      <c r="C71" s="282"/>
      <c r="D71" s="281"/>
      <c r="E71" s="174">
        <v>4</v>
      </c>
      <c r="F71" s="175"/>
      <c r="G71" s="248" t="str">
        <f>IF(ISBLANK(F71),"-",(F71/$D$50*$D$47*$B$68)*($B$57/$D$68))</f>
        <v>-</v>
      </c>
      <c r="H71" s="181" t="str">
        <f t="shared" si="0"/>
        <v>-</v>
      </c>
    </row>
    <row r="72" spans="1:8" ht="26.25" customHeight="1" x14ac:dyDescent="0.4">
      <c r="A72" s="203"/>
      <c r="B72" s="203"/>
      <c r="C72" s="203"/>
      <c r="D72" s="203"/>
      <c r="E72" s="203"/>
      <c r="F72" s="182" t="s">
        <v>71</v>
      </c>
      <c r="G72" s="253">
        <f>AVERAGE(G60:G71)</f>
        <v>28.330182378037506</v>
      </c>
      <c r="H72" s="183">
        <f>AVERAGE(H60:H71)</f>
        <v>0.94433941260125032</v>
      </c>
    </row>
    <row r="73" spans="1:8" ht="26.25" customHeight="1" x14ac:dyDescent="0.4">
      <c r="C73" s="203"/>
      <c r="D73" s="203"/>
      <c r="E73" s="203"/>
      <c r="F73" s="184" t="s">
        <v>84</v>
      </c>
      <c r="G73" s="249">
        <f>STDEV(G60:G71)/G72</f>
        <v>7.2525148483988935E-3</v>
      </c>
      <c r="H73" s="249">
        <f>STDEV(H60:H71)/H72</f>
        <v>7.2525148483988918E-3</v>
      </c>
    </row>
    <row r="74" spans="1:8" ht="27" customHeight="1" thickBot="1" x14ac:dyDescent="0.45">
      <c r="A74" s="203"/>
      <c r="B74" s="203"/>
      <c r="C74" s="203"/>
      <c r="D74" s="203"/>
      <c r="E74" s="185"/>
      <c r="F74" s="186" t="s">
        <v>20</v>
      </c>
      <c r="G74" s="187">
        <f>COUNT(G60:G71)</f>
        <v>6</v>
      </c>
      <c r="H74" s="187">
        <f>COUNT(H60:H71)</f>
        <v>6</v>
      </c>
    </row>
    <row r="76" spans="1:8" ht="26.25" customHeight="1" x14ac:dyDescent="0.4">
      <c r="A76" s="237" t="s">
        <v>106</v>
      </c>
      <c r="B76" s="195" t="s">
        <v>107</v>
      </c>
      <c r="C76" s="272" t="str">
        <f>B20</f>
        <v xml:space="preserve"> Isoniazid</v>
      </c>
      <c r="D76" s="272"/>
      <c r="E76" s="188" t="s">
        <v>108</v>
      </c>
      <c r="F76" s="188"/>
      <c r="G76" s="189">
        <f>H72</f>
        <v>0.94433941260125032</v>
      </c>
      <c r="H76" s="260"/>
    </row>
    <row r="77" spans="1:8" ht="18.75" x14ac:dyDescent="0.3">
      <c r="A77" s="103" t="s">
        <v>109</v>
      </c>
      <c r="B77" s="103" t="s">
        <v>110</v>
      </c>
    </row>
    <row r="78" spans="1:8" ht="18.75" x14ac:dyDescent="0.3">
      <c r="A78" s="103"/>
      <c r="B78" s="103"/>
    </row>
    <row r="79" spans="1:8" ht="26.25" customHeight="1" x14ac:dyDescent="0.4">
      <c r="A79" s="237" t="s">
        <v>4</v>
      </c>
      <c r="B79" s="283" t="str">
        <f>B26</f>
        <v>Isoniazid</v>
      </c>
      <c r="C79" s="283"/>
    </row>
    <row r="80" spans="1:8" ht="26.25" customHeight="1" x14ac:dyDescent="0.4">
      <c r="A80" s="195" t="s">
        <v>48</v>
      </c>
      <c r="B80" s="283" t="str">
        <f>B27</f>
        <v>I8-2</v>
      </c>
      <c r="C80" s="283"/>
    </row>
    <row r="81" spans="1:12" ht="27" customHeight="1" thickBot="1" x14ac:dyDescent="0.45">
      <c r="A81" s="195" t="s">
        <v>6</v>
      </c>
      <c r="B81" s="190">
        <f>B28</f>
        <v>98.5</v>
      </c>
    </row>
    <row r="82" spans="1:12" s="16" customFormat="1" ht="27" customHeight="1" thickBot="1" x14ac:dyDescent="0.45">
      <c r="A82" s="195" t="s">
        <v>49</v>
      </c>
      <c r="B82" s="104">
        <v>0</v>
      </c>
      <c r="C82" s="284" t="s">
        <v>50</v>
      </c>
      <c r="D82" s="285"/>
      <c r="E82" s="285"/>
      <c r="F82" s="285"/>
      <c r="G82" s="286"/>
      <c r="I82" s="105"/>
      <c r="J82" s="105"/>
      <c r="K82" s="105"/>
      <c r="L82" s="105"/>
    </row>
    <row r="83" spans="1:12" s="16" customFormat="1" ht="19.5" customHeight="1" thickBot="1" x14ac:dyDescent="0.35">
      <c r="A83" s="195" t="s">
        <v>51</v>
      </c>
      <c r="B83" s="260">
        <f>B81-B82</f>
        <v>98.5</v>
      </c>
      <c r="C83" s="106"/>
      <c r="D83" s="106"/>
      <c r="E83" s="106"/>
      <c r="F83" s="106"/>
      <c r="G83" s="107"/>
      <c r="I83" s="105"/>
      <c r="J83" s="105"/>
      <c r="K83" s="105"/>
      <c r="L83" s="105"/>
    </row>
    <row r="84" spans="1:12" s="16" customFormat="1" ht="27" customHeight="1" thickBot="1" x14ac:dyDescent="0.45">
      <c r="A84" s="195" t="s">
        <v>52</v>
      </c>
      <c r="B84" s="108">
        <v>1</v>
      </c>
      <c r="C84" s="287" t="s">
        <v>111</v>
      </c>
      <c r="D84" s="288"/>
      <c r="E84" s="288"/>
      <c r="F84" s="288"/>
      <c r="G84" s="288"/>
      <c r="H84" s="289"/>
      <c r="I84" s="105"/>
      <c r="J84" s="105"/>
      <c r="K84" s="105"/>
      <c r="L84" s="105"/>
    </row>
    <row r="85" spans="1:12" s="16" customFormat="1" ht="27" customHeight="1" thickBot="1" x14ac:dyDescent="0.45">
      <c r="A85" s="195" t="s">
        <v>54</v>
      </c>
      <c r="B85" s="108">
        <v>1</v>
      </c>
      <c r="C85" s="287" t="s">
        <v>112</v>
      </c>
      <c r="D85" s="288"/>
      <c r="E85" s="288"/>
      <c r="F85" s="288"/>
      <c r="G85" s="288"/>
      <c r="H85" s="289"/>
      <c r="I85" s="105"/>
      <c r="J85" s="105"/>
      <c r="K85" s="105"/>
      <c r="L85" s="105"/>
    </row>
    <row r="86" spans="1:12" s="16" customFormat="1" ht="18.75" x14ac:dyDescent="0.3">
      <c r="A86" s="195"/>
      <c r="B86" s="111"/>
      <c r="C86" s="112"/>
      <c r="D86" s="112"/>
      <c r="E86" s="112"/>
      <c r="F86" s="112"/>
      <c r="G86" s="112"/>
      <c r="H86" s="112"/>
      <c r="I86" s="105"/>
      <c r="J86" s="105"/>
      <c r="K86" s="105"/>
      <c r="L86" s="105"/>
    </row>
    <row r="87" spans="1:12" s="16" customFormat="1" ht="18.75" x14ac:dyDescent="0.3">
      <c r="A87" s="195" t="s">
        <v>56</v>
      </c>
      <c r="B87" s="113">
        <f>B84/B85</f>
        <v>1</v>
      </c>
      <c r="C87" s="188" t="s">
        <v>57</v>
      </c>
      <c r="D87" s="188"/>
      <c r="E87" s="188"/>
      <c r="F87" s="188"/>
      <c r="G87" s="188"/>
      <c r="I87" s="105"/>
      <c r="J87" s="105"/>
      <c r="K87" s="105"/>
      <c r="L87" s="105"/>
    </row>
    <row r="88" spans="1:12" ht="19.5" customHeight="1" thickBot="1" x14ac:dyDescent="0.35">
      <c r="A88" s="103"/>
      <c r="B88" s="103"/>
    </row>
    <row r="89" spans="1:12" ht="27" customHeight="1" thickBot="1" x14ac:dyDescent="0.45">
      <c r="A89" s="114" t="s">
        <v>58</v>
      </c>
      <c r="B89" s="115">
        <v>100</v>
      </c>
      <c r="D89" s="258" t="s">
        <v>59</v>
      </c>
      <c r="E89" s="259"/>
      <c r="F89" s="274" t="s">
        <v>60</v>
      </c>
      <c r="G89" s="275"/>
    </row>
    <row r="90" spans="1:12" ht="27" customHeight="1" thickBot="1" x14ac:dyDescent="0.45">
      <c r="A90" s="116" t="s">
        <v>61</v>
      </c>
      <c r="B90" s="117">
        <v>10</v>
      </c>
      <c r="C90" s="261" t="s">
        <v>62</v>
      </c>
      <c r="D90" s="119" t="s">
        <v>63</v>
      </c>
      <c r="E90" s="120" t="s">
        <v>64</v>
      </c>
      <c r="F90" s="119" t="s">
        <v>63</v>
      </c>
      <c r="G90" s="191" t="s">
        <v>64</v>
      </c>
      <c r="I90" s="122" t="s">
        <v>65</v>
      </c>
    </row>
    <row r="91" spans="1:12" ht="26.25" customHeight="1" x14ac:dyDescent="0.4">
      <c r="A91" s="116" t="s">
        <v>66</v>
      </c>
      <c r="B91" s="117">
        <v>25</v>
      </c>
      <c r="C91" s="192">
        <v>1</v>
      </c>
      <c r="D91" s="124">
        <v>11786223</v>
      </c>
      <c r="E91" s="125">
        <f>IF(ISBLANK(D91),"-",$D$101/$D$98*D91)</f>
        <v>11091683.935337065</v>
      </c>
      <c r="F91" s="124">
        <v>11368729</v>
      </c>
      <c r="G91" s="126">
        <f>IF(ISBLANK(F91),"-",$D$101/$F$98*F91)</f>
        <v>11158020.932706768</v>
      </c>
      <c r="I91" s="127"/>
    </row>
    <row r="92" spans="1:12" ht="26.25" customHeight="1" x14ac:dyDescent="0.4">
      <c r="A92" s="116" t="s">
        <v>67</v>
      </c>
      <c r="B92" s="117">
        <v>1</v>
      </c>
      <c r="C92" s="203">
        <v>2</v>
      </c>
      <c r="D92" s="128">
        <v>11731727</v>
      </c>
      <c r="E92" s="129">
        <f>IF(ISBLANK(D92),"-",$D$101/$D$98*D92)</f>
        <v>11040399.278009595</v>
      </c>
      <c r="F92" s="128">
        <v>11380952</v>
      </c>
      <c r="G92" s="130">
        <f>IF(ISBLANK(F92),"-",$D$101/$F$98*F92)</f>
        <v>11170017.391577454</v>
      </c>
      <c r="I92" s="265">
        <f>ABS((F96/D96*D95)-F95)/D95</f>
        <v>9.4994375048455051E-3</v>
      </c>
    </row>
    <row r="93" spans="1:12" ht="26.25" customHeight="1" x14ac:dyDescent="0.4">
      <c r="A93" s="116" t="s">
        <v>68</v>
      </c>
      <c r="B93" s="117">
        <v>1</v>
      </c>
      <c r="C93" s="203">
        <v>3</v>
      </c>
      <c r="D93" s="128">
        <v>11737184</v>
      </c>
      <c r="E93" s="129">
        <f>IF(ISBLANK(D93),"-",$D$101/$D$98*D93)</f>
        <v>11045534.707674818</v>
      </c>
      <c r="F93" s="128">
        <v>11389367</v>
      </c>
      <c r="G93" s="130">
        <f>IF(ISBLANK(F93),"-",$D$101/$F$98*F93)</f>
        <v>11178276.427934881</v>
      </c>
      <c r="I93" s="265"/>
    </row>
    <row r="94" spans="1:12" ht="27" customHeight="1" thickBot="1" x14ac:dyDescent="0.45">
      <c r="A94" s="116" t="s">
        <v>69</v>
      </c>
      <c r="B94" s="117">
        <v>1</v>
      </c>
      <c r="C94" s="193">
        <v>4</v>
      </c>
      <c r="D94" s="132"/>
      <c r="E94" s="133" t="str">
        <f>IF(ISBLANK(D94),"-",$D$101/$D$98*D94)</f>
        <v>-</v>
      </c>
      <c r="F94" s="194"/>
      <c r="G94" s="134" t="str">
        <f>IF(ISBLANK(F94),"-",$D$101/$F$98*F94)</f>
        <v>-</v>
      </c>
      <c r="I94" s="135"/>
    </row>
    <row r="95" spans="1:12" ht="27" customHeight="1" thickBot="1" x14ac:dyDescent="0.45">
      <c r="A95" s="116" t="s">
        <v>70</v>
      </c>
      <c r="B95" s="117">
        <v>1</v>
      </c>
      <c r="C95" s="195" t="s">
        <v>71</v>
      </c>
      <c r="D95" s="196">
        <f>AVERAGE(D91:D94)</f>
        <v>11751711.333333334</v>
      </c>
      <c r="E95" s="138">
        <f>AVERAGE(E91:E94)</f>
        <v>11059205.973673826</v>
      </c>
      <c r="F95" s="197">
        <f>AVERAGE(F91:F94)</f>
        <v>11379682.666666666</v>
      </c>
      <c r="G95" s="198">
        <f>AVERAGE(G91:G94)</f>
        <v>11168771.584073035</v>
      </c>
    </row>
    <row r="96" spans="1:12" ht="26.25" customHeight="1" x14ac:dyDescent="0.4">
      <c r="A96" s="116" t="s">
        <v>72</v>
      </c>
      <c r="B96" s="190">
        <v>1</v>
      </c>
      <c r="C96" s="199" t="s">
        <v>113</v>
      </c>
      <c r="D96" s="200">
        <v>8.99</v>
      </c>
      <c r="E96" s="188"/>
      <c r="F96" s="142">
        <v>8.6199999999999992</v>
      </c>
    </row>
    <row r="97" spans="1:10" ht="26.25" customHeight="1" x14ac:dyDescent="0.4">
      <c r="A97" s="116" t="s">
        <v>74</v>
      </c>
      <c r="B97" s="190">
        <v>1</v>
      </c>
      <c r="C97" s="201" t="s">
        <v>114</v>
      </c>
      <c r="D97" s="202">
        <f>D96*$B$87</f>
        <v>8.99</v>
      </c>
      <c r="E97" s="203"/>
      <c r="F97" s="144">
        <f>F96*$B$87</f>
        <v>8.6199999999999992</v>
      </c>
    </row>
    <row r="98" spans="1:10" ht="19.5" customHeight="1" thickBot="1" x14ac:dyDescent="0.35">
      <c r="A98" s="116" t="s">
        <v>76</v>
      </c>
      <c r="B98" s="203">
        <f>(B97/B96)*(B95/B94)*(B93/B92)*(B91/B90)*B89</f>
        <v>250</v>
      </c>
      <c r="C98" s="201" t="s">
        <v>115</v>
      </c>
      <c r="D98" s="204">
        <f>D97*$B$83/100</f>
        <v>8.8551500000000001</v>
      </c>
      <c r="E98" s="185"/>
      <c r="F98" s="146">
        <f>F97*$B$83/100</f>
        <v>8.4906999999999986</v>
      </c>
    </row>
    <row r="99" spans="1:10" ht="19.5" customHeight="1" thickBot="1" x14ac:dyDescent="0.35">
      <c r="A99" s="266" t="s">
        <v>78</v>
      </c>
      <c r="B99" s="267"/>
      <c r="C99" s="201" t="s">
        <v>116</v>
      </c>
      <c r="D99" s="205">
        <f>D98/$B$98</f>
        <v>3.5420600000000003E-2</v>
      </c>
      <c r="E99" s="185"/>
      <c r="F99" s="149">
        <f>F98/$B$98</f>
        <v>3.3962799999999994E-2</v>
      </c>
      <c r="H99" s="140"/>
    </row>
    <row r="100" spans="1:10" ht="19.5" customHeight="1" thickBot="1" x14ac:dyDescent="0.35">
      <c r="A100" s="268"/>
      <c r="B100" s="269"/>
      <c r="C100" s="201" t="s">
        <v>80</v>
      </c>
      <c r="D100" s="207">
        <f>$B$56/$B$116</f>
        <v>3.3333333333333333E-2</v>
      </c>
      <c r="F100" s="154"/>
      <c r="G100" s="213"/>
      <c r="H100" s="140"/>
    </row>
    <row r="101" spans="1:10" ht="18.75" x14ac:dyDescent="0.3">
      <c r="C101" s="201" t="s">
        <v>81</v>
      </c>
      <c r="D101" s="202">
        <f>D100*$B$98</f>
        <v>8.3333333333333339</v>
      </c>
      <c r="F101" s="154"/>
      <c r="H101" s="140"/>
    </row>
    <row r="102" spans="1:10" ht="19.5" customHeight="1" thickBot="1" x14ac:dyDescent="0.35">
      <c r="C102" s="208" t="s">
        <v>82</v>
      </c>
      <c r="D102" s="209">
        <f>D101/B34</f>
        <v>8.3333333333333339</v>
      </c>
      <c r="F102" s="158"/>
      <c r="H102" s="140"/>
      <c r="J102" s="210"/>
    </row>
    <row r="103" spans="1:10" ht="18.75" x14ac:dyDescent="0.3">
      <c r="C103" s="211" t="s">
        <v>117</v>
      </c>
      <c r="D103" s="212">
        <f>AVERAGE(E91:E94,G91:G94)</f>
        <v>11113988.778873429</v>
      </c>
      <c r="F103" s="158"/>
      <c r="G103" s="213"/>
      <c r="H103" s="140"/>
      <c r="J103" s="214"/>
    </row>
    <row r="104" spans="1:10" ht="18.75" x14ac:dyDescent="0.3">
      <c r="C104" s="184" t="s">
        <v>84</v>
      </c>
      <c r="D104" s="215">
        <f>STDEV(E91:E94,G91:G94)/D103</f>
        <v>5.6635050331750045E-3</v>
      </c>
      <c r="F104" s="158"/>
      <c r="H104" s="140"/>
      <c r="J104" s="214"/>
    </row>
    <row r="105" spans="1:10" ht="19.5" customHeight="1" thickBot="1" x14ac:dyDescent="0.35">
      <c r="C105" s="186" t="s">
        <v>20</v>
      </c>
      <c r="D105" s="216">
        <f>COUNT(E91:E94,G91:G94)</f>
        <v>6</v>
      </c>
      <c r="F105" s="158"/>
      <c r="H105" s="140"/>
      <c r="J105" s="214"/>
    </row>
    <row r="106" spans="1:10" ht="19.5" customHeight="1" thickBot="1" x14ac:dyDescent="0.35">
      <c r="A106" s="162"/>
      <c r="B106" s="162"/>
      <c r="C106" s="162"/>
      <c r="D106" s="162"/>
      <c r="E106" s="162"/>
    </row>
    <row r="107" spans="1:10" ht="26.25" customHeight="1" x14ac:dyDescent="0.4">
      <c r="A107" s="114" t="s">
        <v>118</v>
      </c>
      <c r="B107" s="115">
        <v>900</v>
      </c>
      <c r="C107" s="258" t="s">
        <v>119</v>
      </c>
      <c r="D107" s="217" t="s">
        <v>63</v>
      </c>
      <c r="E107" s="218" t="s">
        <v>120</v>
      </c>
      <c r="F107" s="219" t="s">
        <v>121</v>
      </c>
    </row>
    <row r="108" spans="1:10" ht="26.25" customHeight="1" x14ac:dyDescent="0.4">
      <c r="A108" s="116" t="s">
        <v>122</v>
      </c>
      <c r="B108" s="117">
        <v>1</v>
      </c>
      <c r="C108" s="220">
        <v>1</v>
      </c>
      <c r="D108" s="221">
        <v>11389251</v>
      </c>
      <c r="E108" s="250">
        <f t="shared" ref="E108:E113" si="1">IF(ISBLANK(D108),"-",D108/$D$103*$D$100*$B$116)</f>
        <v>30.74301556336772</v>
      </c>
      <c r="F108" s="222">
        <f t="shared" ref="F108:F113" si="2">IF(ISBLANK(D108), "-", E108/$B$56)</f>
        <v>1.0247671854455906</v>
      </c>
    </row>
    <row r="109" spans="1:10" ht="26.25" customHeight="1" x14ac:dyDescent="0.4">
      <c r="A109" s="116" t="s">
        <v>95</v>
      </c>
      <c r="B109" s="117">
        <v>1</v>
      </c>
      <c r="C109" s="220">
        <v>2</v>
      </c>
      <c r="D109" s="221">
        <v>11718695</v>
      </c>
      <c r="E109" s="251">
        <f t="shared" si="1"/>
        <v>31.632284051634251</v>
      </c>
      <c r="F109" s="223">
        <f t="shared" si="2"/>
        <v>1.0544094683878085</v>
      </c>
    </row>
    <row r="110" spans="1:10" ht="26.25" customHeight="1" x14ac:dyDescent="0.4">
      <c r="A110" s="116" t="s">
        <v>96</v>
      </c>
      <c r="B110" s="117">
        <v>1</v>
      </c>
      <c r="C110" s="220">
        <v>3</v>
      </c>
      <c r="D110" s="221">
        <v>11196947</v>
      </c>
      <c r="E110" s="251">
        <f t="shared" si="1"/>
        <v>30.223929201595741</v>
      </c>
      <c r="F110" s="223">
        <f t="shared" si="2"/>
        <v>1.0074643067198581</v>
      </c>
    </row>
    <row r="111" spans="1:10" ht="26.25" customHeight="1" x14ac:dyDescent="0.4">
      <c r="A111" s="116" t="s">
        <v>97</v>
      </c>
      <c r="B111" s="117">
        <v>1</v>
      </c>
      <c r="C111" s="220">
        <v>4</v>
      </c>
      <c r="D111" s="221">
        <v>11168275</v>
      </c>
      <c r="E111" s="251">
        <f t="shared" si="1"/>
        <v>30.14653484596754</v>
      </c>
      <c r="F111" s="223">
        <f t="shared" si="2"/>
        <v>1.0048844948655846</v>
      </c>
    </row>
    <row r="112" spans="1:10" ht="26.25" customHeight="1" x14ac:dyDescent="0.4">
      <c r="A112" s="116" t="s">
        <v>98</v>
      </c>
      <c r="B112" s="117">
        <v>1</v>
      </c>
      <c r="C112" s="220">
        <v>5</v>
      </c>
      <c r="D112" s="221">
        <v>11154541</v>
      </c>
      <c r="E112" s="251">
        <f t="shared" si="1"/>
        <v>30.109462647299921</v>
      </c>
      <c r="F112" s="223">
        <f t="shared" si="2"/>
        <v>1.0036487549099973</v>
      </c>
    </row>
    <row r="113" spans="1:10" ht="26.25" customHeight="1" x14ac:dyDescent="0.4">
      <c r="A113" s="116" t="s">
        <v>100</v>
      </c>
      <c r="B113" s="117">
        <v>1</v>
      </c>
      <c r="C113" s="224">
        <v>6</v>
      </c>
      <c r="D113" s="225">
        <v>12129423</v>
      </c>
      <c r="E113" s="252">
        <f t="shared" si="1"/>
        <v>32.740962514889731</v>
      </c>
      <c r="F113" s="226">
        <f t="shared" si="2"/>
        <v>1.091365417162991</v>
      </c>
    </row>
    <row r="114" spans="1:10" ht="26.25" customHeight="1" x14ac:dyDescent="0.4">
      <c r="A114" s="116" t="s">
        <v>101</v>
      </c>
      <c r="B114" s="117">
        <v>1</v>
      </c>
      <c r="C114" s="220"/>
      <c r="D114" s="203"/>
      <c r="E114" s="188"/>
      <c r="F114" s="227"/>
    </row>
    <row r="115" spans="1:10" ht="26.25" customHeight="1" x14ac:dyDescent="0.4">
      <c r="A115" s="116" t="s">
        <v>102</v>
      </c>
      <c r="B115" s="117">
        <v>1</v>
      </c>
      <c r="C115" s="220"/>
      <c r="D115" s="228" t="s">
        <v>71</v>
      </c>
      <c r="E115" s="254">
        <f>AVERAGE(E108:E113)</f>
        <v>30.932698137459152</v>
      </c>
      <c r="F115" s="229">
        <f>AVERAGE(F108:F113)</f>
        <v>1.0310899379153049</v>
      </c>
    </row>
    <row r="116" spans="1:10" ht="27" customHeight="1" thickBot="1" x14ac:dyDescent="0.45">
      <c r="A116" s="116" t="s">
        <v>103</v>
      </c>
      <c r="B116" s="145">
        <f>(B115/B114)*(B113/B112)*(B111/B110)*(B109/B108)*B107</f>
        <v>900</v>
      </c>
      <c r="C116" s="230"/>
      <c r="D116" s="195" t="s">
        <v>84</v>
      </c>
      <c r="E116" s="231">
        <f>STDEV(E108:E113)/E115</f>
        <v>3.419266192414306E-2</v>
      </c>
      <c r="F116" s="231">
        <f>STDEV(F108:F113)/F115</f>
        <v>3.4192661924143074E-2</v>
      </c>
      <c r="I116" s="188"/>
    </row>
    <row r="117" spans="1:10" ht="27" customHeight="1" thickBot="1" x14ac:dyDescent="0.45">
      <c r="A117" s="266" t="s">
        <v>78</v>
      </c>
      <c r="B117" s="270"/>
      <c r="C117" s="232"/>
      <c r="D117" s="233" t="s">
        <v>20</v>
      </c>
      <c r="E117" s="234">
        <f>COUNT(E108:E113)</f>
        <v>6</v>
      </c>
      <c r="F117" s="234">
        <f>COUNT(F108:F113)</f>
        <v>6</v>
      </c>
      <c r="I117" s="188"/>
      <c r="J117" s="214"/>
    </row>
    <row r="118" spans="1:10" ht="19.5" customHeight="1" thickBot="1" x14ac:dyDescent="0.35">
      <c r="A118" s="268"/>
      <c r="B118" s="271"/>
      <c r="C118" s="188"/>
      <c r="D118" s="188"/>
      <c r="E118" s="188"/>
      <c r="F118" s="203"/>
      <c r="G118" s="188"/>
      <c r="H118" s="188"/>
      <c r="I118" s="188"/>
    </row>
    <row r="119" spans="1:10" ht="18.75" x14ac:dyDescent="0.3">
      <c r="A119" s="241"/>
      <c r="B119" s="112"/>
      <c r="C119" s="188"/>
      <c r="D119" s="188"/>
      <c r="E119" s="188"/>
      <c r="F119" s="203"/>
      <c r="G119" s="188"/>
      <c r="H119" s="188"/>
      <c r="I119" s="188"/>
    </row>
    <row r="120" spans="1:10" ht="26.25" customHeight="1" x14ac:dyDescent="0.4">
      <c r="A120" s="237" t="s">
        <v>106</v>
      </c>
      <c r="B120" s="195" t="s">
        <v>123</v>
      </c>
      <c r="C120" s="272" t="str">
        <f>B20</f>
        <v xml:space="preserve"> Isoniazid</v>
      </c>
      <c r="D120" s="272"/>
      <c r="E120" s="188" t="s">
        <v>124</v>
      </c>
      <c r="F120" s="188"/>
      <c r="G120" s="189">
        <f>F115</f>
        <v>1.0310899379153049</v>
      </c>
      <c r="H120" s="188"/>
      <c r="I120" s="188"/>
    </row>
    <row r="121" spans="1:10" ht="19.5" customHeight="1" thickBot="1" x14ac:dyDescent="0.35">
      <c r="A121" s="262"/>
      <c r="B121" s="262"/>
      <c r="C121" s="235"/>
      <c r="D121" s="235"/>
      <c r="E121" s="235"/>
      <c r="F121" s="235"/>
      <c r="G121" s="235"/>
      <c r="H121" s="235"/>
    </row>
    <row r="122" spans="1:10" ht="18.75" x14ac:dyDescent="0.3">
      <c r="B122" s="273" t="s">
        <v>26</v>
      </c>
      <c r="C122" s="273"/>
      <c r="E122" s="261" t="s">
        <v>27</v>
      </c>
      <c r="F122" s="236"/>
      <c r="G122" s="273" t="s">
        <v>28</v>
      </c>
      <c r="H122" s="273"/>
    </row>
    <row r="123" spans="1:10" ht="69.95" customHeight="1" x14ac:dyDescent="0.3">
      <c r="A123" s="237" t="s">
        <v>29</v>
      </c>
      <c r="B123" s="238"/>
      <c r="C123" s="238"/>
      <c r="E123" s="238"/>
      <c r="F123" s="188"/>
      <c r="G123" s="238"/>
      <c r="H123" s="238"/>
    </row>
    <row r="124" spans="1:10" ht="69.95" customHeight="1" x14ac:dyDescent="0.3">
      <c r="A124" s="237" t="s">
        <v>30</v>
      </c>
      <c r="B124" s="239"/>
      <c r="C124" s="239"/>
      <c r="E124" s="239"/>
      <c r="F124" s="188"/>
      <c r="G124" s="240"/>
      <c r="H124" s="240"/>
    </row>
    <row r="125" spans="1:10" ht="18.75" x14ac:dyDescent="0.3">
      <c r="A125" s="203"/>
      <c r="B125" s="203"/>
      <c r="C125" s="203"/>
      <c r="D125" s="203"/>
      <c r="E125" s="203"/>
      <c r="F125" s="185"/>
      <c r="G125" s="203"/>
      <c r="H125" s="203"/>
      <c r="I125" s="188"/>
    </row>
    <row r="126" spans="1:10" ht="18.75" x14ac:dyDescent="0.3">
      <c r="A126" s="203"/>
      <c r="B126" s="203"/>
      <c r="C126" s="203"/>
      <c r="D126" s="203"/>
      <c r="E126" s="203"/>
      <c r="F126" s="185"/>
      <c r="G126" s="203"/>
      <c r="H126" s="203"/>
      <c r="I126" s="188"/>
    </row>
    <row r="127" spans="1:10" ht="18.75" x14ac:dyDescent="0.3">
      <c r="A127" s="203"/>
      <c r="B127" s="203"/>
      <c r="C127" s="203"/>
      <c r="D127" s="203"/>
      <c r="E127" s="203"/>
      <c r="F127" s="185"/>
      <c r="G127" s="203"/>
      <c r="H127" s="203"/>
      <c r="I127" s="188"/>
    </row>
    <row r="128" spans="1:10" ht="18.75" x14ac:dyDescent="0.3">
      <c r="A128" s="203"/>
      <c r="B128" s="203"/>
      <c r="C128" s="203"/>
      <c r="D128" s="203"/>
      <c r="E128" s="203"/>
      <c r="F128" s="185"/>
      <c r="G128" s="203"/>
      <c r="H128" s="203"/>
      <c r="I128" s="188"/>
    </row>
    <row r="129" spans="1:9" ht="18.75" x14ac:dyDescent="0.3">
      <c r="A129" s="203"/>
      <c r="B129" s="203"/>
      <c r="C129" s="203"/>
      <c r="D129" s="203"/>
      <c r="E129" s="203"/>
      <c r="F129" s="185"/>
      <c r="G129" s="203"/>
      <c r="H129" s="203"/>
      <c r="I129" s="188"/>
    </row>
    <row r="130" spans="1:9" ht="18.75" x14ac:dyDescent="0.3">
      <c r="A130" s="203"/>
      <c r="B130" s="203"/>
      <c r="C130" s="203"/>
      <c r="D130" s="203"/>
      <c r="E130" s="203"/>
      <c r="F130" s="185"/>
      <c r="G130" s="203"/>
      <c r="H130" s="203"/>
      <c r="I130" s="188"/>
    </row>
    <row r="131" spans="1:9" ht="18.75" x14ac:dyDescent="0.3">
      <c r="A131" s="203"/>
      <c r="B131" s="203"/>
      <c r="C131" s="203"/>
      <c r="D131" s="203"/>
      <c r="E131" s="203"/>
      <c r="F131" s="185"/>
      <c r="G131" s="203"/>
      <c r="H131" s="203"/>
      <c r="I131" s="188"/>
    </row>
    <row r="132" spans="1:9" ht="18.75" x14ac:dyDescent="0.3">
      <c r="A132" s="203"/>
      <c r="B132" s="203"/>
      <c r="C132" s="203"/>
      <c r="D132" s="203"/>
      <c r="E132" s="203"/>
      <c r="F132" s="185"/>
      <c r="G132" s="203"/>
      <c r="H132" s="203"/>
      <c r="I132" s="188"/>
    </row>
    <row r="133" spans="1:9" ht="18.75" x14ac:dyDescent="0.3">
      <c r="A133" s="203"/>
      <c r="B133" s="203"/>
      <c r="C133" s="203"/>
      <c r="D133" s="203"/>
      <c r="E133" s="203"/>
      <c r="F133" s="185"/>
      <c r="G133" s="203"/>
      <c r="H133" s="203"/>
      <c r="I133" s="188"/>
    </row>
    <row r="250" spans="1:1" x14ac:dyDescent="0.25">
      <c r="A250" s="206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Rifampicin</vt:lpstr>
      <vt:lpstr>Rifampicin</vt:lpstr>
      <vt:lpstr>Uniformity</vt:lpstr>
      <vt:lpstr>SST Isoniazid</vt:lpstr>
      <vt:lpstr>Isoniazid</vt:lpstr>
      <vt:lpstr>Isoniazid!Print_Area</vt:lpstr>
      <vt:lpstr>Rifampicin!Print_Area</vt:lpstr>
      <vt:lpstr>'SST Isoniazid'!Print_Area</vt:lpstr>
      <vt:lpstr>'SST Rifampicin'!Print_Area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2016-06-17T09:21:36Z</cp:lastPrinted>
  <dcterms:created xsi:type="dcterms:W3CDTF">2005-07-05T10:19:27Z</dcterms:created>
  <dcterms:modified xsi:type="dcterms:W3CDTF">2016-06-21T13:45:59Z</dcterms:modified>
</cp:coreProperties>
</file>