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75" windowHeight="9405" activeTab="2"/>
  </bookViews>
  <sheets>
    <sheet name="SST" sheetId="1" r:id="rId1"/>
    <sheet name="Uniformity" sheetId="2" r:id="rId2"/>
    <sheet name="Levofoxacin" sheetId="3" r:id="rId3"/>
  </sheets>
  <definedNames>
    <definedName name="_xlnm.Print_Area" localSheetId="2">Levofoxacin!$A$1:$I$124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D44" i="3" s="1"/>
  <c r="D45" i="3" s="1"/>
  <c r="B30" i="3"/>
  <c r="D50" i="2"/>
  <c r="D49" i="2"/>
  <c r="B49" i="2"/>
  <c r="C46" i="2"/>
  <c r="C50" i="2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1" i="2"/>
  <c r="D35" i="2"/>
  <c r="D39" i="2"/>
  <c r="D43" i="2"/>
  <c r="C49" i="2"/>
  <c r="B57" i="3"/>
  <c r="D101" i="3"/>
  <c r="D102" i="3" s="1"/>
  <c r="D97" i="3"/>
  <c r="I92" i="3"/>
  <c r="B69" i="3"/>
  <c r="I39" i="3"/>
  <c r="E40" i="3"/>
  <c r="E38" i="3"/>
  <c r="F44" i="3"/>
  <c r="F45" i="3" s="1"/>
  <c r="D49" i="3"/>
  <c r="G41" i="3"/>
  <c r="F98" i="3"/>
  <c r="D98" i="3"/>
  <c r="E41" i="3"/>
  <c r="E39" i="3"/>
  <c r="D46" i="3"/>
  <c r="F46" i="3" l="1"/>
  <c r="G39" i="3"/>
  <c r="G40" i="3"/>
  <c r="G38" i="3"/>
  <c r="F99" i="3"/>
  <c r="G92" i="3"/>
  <c r="G91" i="3"/>
  <c r="G93" i="3"/>
  <c r="G94" i="3"/>
  <c r="E94" i="3"/>
  <c r="E91" i="3"/>
  <c r="E93" i="3"/>
  <c r="D99" i="3"/>
  <c r="E92" i="3"/>
  <c r="E42" i="3"/>
  <c r="D50" i="3" l="1"/>
  <c r="G71" i="3" s="1"/>
  <c r="H71" i="3" s="1"/>
  <c r="D52" i="3"/>
  <c r="G42" i="3"/>
  <c r="D103" i="3"/>
  <c r="D105" i="3"/>
  <c r="E95" i="3"/>
  <c r="G69" i="3"/>
  <c r="H69" i="3" s="1"/>
  <c r="G67" i="3"/>
  <c r="H67" i="3" s="1"/>
  <c r="G95" i="3"/>
  <c r="G65" i="3" l="1"/>
  <c r="H65" i="3" s="1"/>
  <c r="G64" i="3"/>
  <c r="H64" i="3" s="1"/>
  <c r="G60" i="3"/>
  <c r="H60" i="3" s="1"/>
  <c r="G62" i="3"/>
  <c r="H62" i="3" s="1"/>
  <c r="D51" i="3"/>
  <c r="G68" i="3"/>
  <c r="H68" i="3" s="1"/>
  <c r="G61" i="3"/>
  <c r="H61" i="3" s="1"/>
  <c r="G63" i="3"/>
  <c r="H63" i="3" s="1"/>
  <c r="G70" i="3"/>
  <c r="H70" i="3" s="1"/>
  <c r="G66" i="3"/>
  <c r="H66" i="3" s="1"/>
  <c r="E111" i="3"/>
  <c r="F111" i="3" s="1"/>
  <c r="D104" i="3"/>
  <c r="E109" i="3"/>
  <c r="F109" i="3" s="1"/>
  <c r="E112" i="3"/>
  <c r="F112" i="3" s="1"/>
  <c r="E110" i="3"/>
  <c r="F110" i="3" s="1"/>
  <c r="E108" i="3"/>
  <c r="E113" i="3"/>
  <c r="F113" i="3" s="1"/>
  <c r="H74" i="3" l="1"/>
  <c r="G72" i="3"/>
  <c r="G73" i="3" s="1"/>
  <c r="G74" i="3"/>
  <c r="H72" i="3"/>
  <c r="G76" i="3" s="1"/>
  <c r="E117" i="3"/>
  <c r="F108" i="3"/>
  <c r="E115" i="3"/>
  <c r="E116" i="3" s="1"/>
  <c r="H73" i="3" l="1"/>
  <c r="F115" i="3"/>
  <c r="F117" i="3"/>
  <c r="G120" i="3" l="1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<sst xmlns="http://schemas.openxmlformats.org/spreadsheetml/2006/main" count="233" uniqueCount="129">
  <si>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</si>
  <si>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</si>
  <si>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</si>
  <si>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</si>
  <si>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</si>
  <si>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LEVOFLOXACIN 500.</t>
  </si>
  <si>
    <t>% age Purity:</t>
  </si>
  <si>
    <t>NDQD2016061113</t>
  </si>
  <si>
    <t>Weight (mg):</t>
  </si>
  <si>
    <t>Levofloxacin hemihydrate equivalent to Levofloxacin 500mg.</t>
  </si>
  <si>
    <t>Standard Conc (mg/mL):</t>
  </si>
  <si>
    <t>Each film - coated tablet contains: Levofloxacin Hemihydrate equivalent to Levofloxacin 500 mg.</t>
  </si>
  <si>
    <t>2016-06-10 07:27:04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</si>
  <si>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</si>
  <si>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</si>
  <si>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</si>
  <si>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</si>
  <si>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</si>
  <si>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</si>
  <si>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</si>
  <si>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</si>
  <si>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</si>
  <si>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</si>
  <si>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</si>
  <si>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</si>
  <si>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</si>
  <si>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</si>
  <si>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</si>
  <si>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</si>
  <si>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</si>
  <si>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</si>
  <si>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</si>
  <si>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</si>
  <si>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</si>
  <si>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</si>
  <si>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</si>
  <si>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</si>
  <si>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</si>
  <si>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</si>
  <si>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</si>
  <si>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</si>
  <si>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</si>
  <si>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</si>
  <si>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</si>
  <si>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</si>
  <si>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</si>
  <si>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</si>
  <si>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</si>
  <si>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</si>
  <si>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</si>
  <si>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</si>
  <si>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</si>
  <si>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</si>
  <si>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</si>
  <si>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</si>
  <si>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</si>
  <si>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</si>
  <si>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</si>
  <si>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</si>
  <si>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</si>
  <si>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</si>
  <si>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</si>
  <si>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</si>
  <si>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</si>
  <si>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</si>
  <si>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</si>
  <si>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</si>
  <si>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</si>
  <si>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</si>
  <si>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</si>
  <si>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</si>
  <si>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</si>
  <si>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</si>
  <si>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</si>
  <si>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</si>
  <si>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</si>
  <si>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</si>
  <si>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</si>
  <si>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</si>
  <si>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</si>
  <si>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</si>
  <si>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</si>
  <si>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</si>
  <si>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</si>
  <si>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</si>
  <si>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</si>
  <si>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</si>
  <si>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</si>
  <si>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</si>
  <si>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</si>
  <si>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</si>
  <si>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</si>
  <si>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</si>
  <si>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</si>
  <si>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</si>
  <si>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</si>
  <si>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</si>
  <si>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</si>
  <si>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</si>
  <si>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</si>
  <si>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</si>
  <si>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</si>
  <si>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</si>
  <si>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</si>
  <si>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</si>
  <si>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</si>
  <si>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</si>
  <si>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</si>
  <si>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</si>
  <si>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</si>
  <si>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</si>
  <si>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</si>
  <si>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</si>
  <si>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</si>
  <si>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</si>
  <si>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</si>
  <si>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</si>
  <si>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</si>
  <si>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</si>
  <si>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</si>
  <si>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</si>
  <si>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</si>
  <si>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</si>
  <si>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</si>
  <si>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</si>
  <si>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LEVOFLOXACIN</t>
  </si>
  <si>
    <t>Levofloxacin</t>
  </si>
  <si>
    <t>L11-2</t>
  </si>
  <si>
    <t>Levofloxacin Hemihydrate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</si>
</sst>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7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99.9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21.71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11543437</v>
      </c>
      <c r="C24" s="18">
        <v>8021</v>
      </c>
      <c r="D24" s="19">
        <v>1.1000000000000001</v>
      </c>
      <c r="E24" s="20">
        <v>5.7</v>
      </c>
    </row>
    <row r="25" spans="1:6" ht="16.5" customHeight="1" x14ac:dyDescent="0.3">
      <c r="A25" s="17">
        <v>2</v>
      </c>
      <c r="B25" s="18">
        <v>11537710</v>
      </c>
      <c r="C25" s="18">
        <v>8029.1</v>
      </c>
      <c r="D25" s="19">
        <v>1.1000000000000001</v>
      </c>
      <c r="E25" s="19">
        <v>5.7</v>
      </c>
    </row>
    <row r="26" spans="1:6" ht="16.5" customHeight="1" x14ac:dyDescent="0.3">
      <c r="A26" s="17">
        <v>3</v>
      </c>
      <c r="B26" s="18">
        <v>11532186</v>
      </c>
      <c r="C26" s="18">
        <v>8023.7</v>
      </c>
      <c r="D26" s="19">
        <v>1.1000000000000001</v>
      </c>
      <c r="E26" s="19">
        <v>5.7</v>
      </c>
    </row>
    <row r="27" spans="1:6" ht="16.5" customHeight="1" x14ac:dyDescent="0.3">
      <c r="A27" s="17">
        <v>4</v>
      </c>
      <c r="B27" s="18">
        <v>11534241</v>
      </c>
      <c r="C27" s="18">
        <v>8003.7</v>
      </c>
      <c r="D27" s="19">
        <v>1.1000000000000001</v>
      </c>
      <c r="E27" s="19">
        <v>5.7</v>
      </c>
    </row>
    <row r="28" spans="1:6" ht="16.5" customHeight="1" x14ac:dyDescent="0.3">
      <c r="A28" s="17">
        <v>5</v>
      </c>
      <c r="B28" s="18">
        <v>11549836</v>
      </c>
      <c r="C28" s="18">
        <v>8016.9</v>
      </c>
      <c r="D28" s="19">
        <v>1.1000000000000001</v>
      </c>
      <c r="E28" s="19">
        <v>5.7</v>
      </c>
    </row>
    <row r="29" spans="1:6" ht="16.5" customHeight="1" x14ac:dyDescent="0.3">
      <c r="A29" s="17">
        <v>6</v>
      </c>
      <c r="B29" s="21">
        <v>11560351</v>
      </c>
      <c r="C29" s="21">
        <v>7967</v>
      </c>
      <c r="D29" s="22">
        <v>1.1000000000000001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11542960.166666666</v>
      </c>
      <c r="C30" s="25">
        <f>AVERAGE(C24:C29)</f>
        <v>8010.2333333333336</v>
      </c>
      <c r="D30" s="26">
        <f>AVERAGE(D24:D29)</f>
        <v>1.0999999999999999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9.2467478247377339E-4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126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99.9</v>
      </c>
      <c r="C40" s="10"/>
      <c r="D40" s="10"/>
      <c r="E40" s="10"/>
    </row>
    <row r="41" spans="1:6" ht="16.5" customHeight="1" x14ac:dyDescent="0.3">
      <c r="A41" s="7" t="s">
        <v>8</v>
      </c>
      <c r="B41" s="12">
        <v>27.99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0.09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698.47</v>
      </c>
      <c r="D24" s="87">
        <f t="shared" ref="D24:D43" si="0">(C24-$C$46)/$C$46</f>
        <v>7.4073755682680493E-4</v>
      </c>
      <c r="E24" s="53"/>
    </row>
    <row r="25" spans="1:5" ht="15.75" customHeight="1" x14ac:dyDescent="0.3">
      <c r="C25" s="95">
        <v>691.16</v>
      </c>
      <c r="D25" s="88">
        <f t="shared" si="0"/>
        <v>-9.7327470474374619E-3</v>
      </c>
      <c r="E25" s="53"/>
    </row>
    <row r="26" spans="1:5" ht="15.75" customHeight="1" x14ac:dyDescent="0.3">
      <c r="C26" s="95">
        <v>692.05</v>
      </c>
      <c r="D26" s="88">
        <f t="shared" si="0"/>
        <v>-8.4575895511590799E-3</v>
      </c>
      <c r="E26" s="53"/>
    </row>
    <row r="27" spans="1:5" ht="15.75" customHeight="1" x14ac:dyDescent="0.3">
      <c r="C27" s="95">
        <v>707.76</v>
      </c>
      <c r="D27" s="88">
        <f t="shared" si="0"/>
        <v>1.4051089400002438E-2</v>
      </c>
      <c r="E27" s="53"/>
    </row>
    <row r="28" spans="1:5" ht="15.75" customHeight="1" x14ac:dyDescent="0.3">
      <c r="C28" s="95">
        <v>701.63</v>
      </c>
      <c r="D28" s="88">
        <f t="shared" si="0"/>
        <v>5.2682630492309748E-3</v>
      </c>
      <c r="E28" s="53"/>
    </row>
    <row r="29" spans="1:5" ht="15.75" customHeight="1" x14ac:dyDescent="0.3">
      <c r="C29" s="95">
        <v>694.48</v>
      </c>
      <c r="D29" s="88">
        <f t="shared" si="0"/>
        <v>-4.9759797579494169E-3</v>
      </c>
      <c r="E29" s="53"/>
    </row>
    <row r="30" spans="1:5" ht="15.75" customHeight="1" x14ac:dyDescent="0.3">
      <c r="C30" s="95">
        <v>705.8</v>
      </c>
      <c r="D30" s="88">
        <f t="shared" si="0"/>
        <v>1.1242877385726354E-2</v>
      </c>
      <c r="E30" s="53"/>
    </row>
    <row r="31" spans="1:5" ht="15.75" customHeight="1" x14ac:dyDescent="0.3">
      <c r="C31" s="95">
        <v>700.5</v>
      </c>
      <c r="D31" s="88">
        <f t="shared" si="0"/>
        <v>3.6492428573269425E-3</v>
      </c>
      <c r="E31" s="53"/>
    </row>
    <row r="32" spans="1:5" ht="15.75" customHeight="1" x14ac:dyDescent="0.3">
      <c r="C32" s="95">
        <v>697.51</v>
      </c>
      <c r="D32" s="88">
        <f t="shared" si="0"/>
        <v>-6.3471322567579377E-4</v>
      </c>
      <c r="E32" s="53"/>
    </row>
    <row r="33" spans="1:7" ht="15.75" customHeight="1" x14ac:dyDescent="0.3">
      <c r="C33" s="95">
        <v>695.44</v>
      </c>
      <c r="D33" s="88">
        <f t="shared" si="0"/>
        <v>-3.6005289754468183E-3</v>
      </c>
      <c r="E33" s="53"/>
    </row>
    <row r="34" spans="1:7" ht="15.75" customHeight="1" x14ac:dyDescent="0.3">
      <c r="C34" s="95">
        <v>695.86</v>
      </c>
      <c r="D34" s="88">
        <f t="shared" si="0"/>
        <v>-2.9987692581020129E-3</v>
      </c>
      <c r="E34" s="53"/>
    </row>
    <row r="35" spans="1:7" ht="15.75" customHeight="1" x14ac:dyDescent="0.3">
      <c r="C35" s="95">
        <v>692.42</v>
      </c>
      <c r="D35" s="88">
        <f t="shared" si="0"/>
        <v>-7.9274678954028826E-3</v>
      </c>
      <c r="E35" s="53"/>
    </row>
    <row r="36" spans="1:7" ht="15.75" customHeight="1" x14ac:dyDescent="0.3">
      <c r="C36" s="95">
        <v>683.38</v>
      </c>
      <c r="D36" s="88">
        <f t="shared" si="0"/>
        <v>-2.0879629430635146E-2</v>
      </c>
      <c r="E36" s="53"/>
    </row>
    <row r="37" spans="1:7" ht="15.75" customHeight="1" x14ac:dyDescent="0.3">
      <c r="C37" s="95">
        <v>696.83</v>
      </c>
      <c r="D37" s="88">
        <f t="shared" si="0"/>
        <v>-1.6089908632816925E-3</v>
      </c>
      <c r="E37" s="53"/>
    </row>
    <row r="38" spans="1:7" ht="15.75" customHeight="1" x14ac:dyDescent="0.3">
      <c r="C38" s="95">
        <v>702.37</v>
      </c>
      <c r="D38" s="88">
        <f t="shared" si="0"/>
        <v>6.3285063607433677E-3</v>
      </c>
      <c r="E38" s="53"/>
    </row>
    <row r="39" spans="1:7" ht="15.75" customHeight="1" x14ac:dyDescent="0.3">
      <c r="C39" s="95">
        <v>698.7</v>
      </c>
      <c r="D39" s="88">
        <f t="shared" si="0"/>
        <v>1.0702726401347327E-3</v>
      </c>
      <c r="E39" s="53"/>
    </row>
    <row r="40" spans="1:7" ht="15.75" customHeight="1" x14ac:dyDescent="0.3">
      <c r="C40" s="95">
        <v>700.5</v>
      </c>
      <c r="D40" s="88">
        <f t="shared" si="0"/>
        <v>3.6492428573269425E-3</v>
      </c>
      <c r="E40" s="53"/>
    </row>
    <row r="41" spans="1:7" ht="15.75" customHeight="1" x14ac:dyDescent="0.3">
      <c r="C41" s="95">
        <v>704.41</v>
      </c>
      <c r="D41" s="88">
        <f t="shared" si="0"/>
        <v>9.2513392735612265E-3</v>
      </c>
      <c r="E41" s="53"/>
    </row>
    <row r="42" spans="1:7" ht="15.75" customHeight="1" x14ac:dyDescent="0.3">
      <c r="C42" s="95">
        <v>700.7</v>
      </c>
      <c r="D42" s="88">
        <f t="shared" si="0"/>
        <v>3.9357951036817045E-3</v>
      </c>
      <c r="E42" s="53"/>
    </row>
    <row r="43" spans="1:7" ht="16.5" customHeight="1" x14ac:dyDescent="0.3">
      <c r="C43" s="96">
        <v>699.09</v>
      </c>
      <c r="D43" s="89">
        <f t="shared" si="0"/>
        <v>1.6290495205263727E-3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13959.060000000001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697.95300000000009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697.95300000000009</v>
      </c>
      <c r="C49" s="93">
        <f>-IF(C46&lt;=80,10%,IF(C46&lt;250,7.5%,5%))</f>
        <v>-0.05</v>
      </c>
      <c r="D49" s="81">
        <f>IF(C46&lt;=80,C46*0.9,IF(C46&lt;250,C46*0.925,C46*0.95))</f>
        <v>663.05535000000009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732.85065000000009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45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46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98"/>
    </row>
    <row r="16" spans="1:9" ht="19.5" customHeight="1" x14ac:dyDescent="0.3">
      <c r="A16" s="292" t="s">
        <v>31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47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100" t="s">
        <v>33</v>
      </c>
      <c r="B18" s="291" t="s">
        <v>5</v>
      </c>
      <c r="C18" s="291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6" t="s">
        <v>9</v>
      </c>
      <c r="C20" s="29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6" t="s">
        <v>11</v>
      </c>
      <c r="C21" s="296"/>
      <c r="D21" s="296"/>
      <c r="E21" s="296"/>
      <c r="F21" s="296"/>
      <c r="G21" s="296"/>
      <c r="H21" s="296"/>
      <c r="I21" s="104"/>
    </row>
    <row r="22" spans="1:14" ht="26.25" customHeight="1" x14ac:dyDescent="0.4">
      <c r="A22" s="100" t="s">
        <v>37</v>
      </c>
      <c r="B22" s="105">
        <v>42547.31046296296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42548.31046296296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1" t="s">
        <v>128</v>
      </c>
      <c r="C26" s="291"/>
    </row>
    <row r="27" spans="1:14" ht="26.25" customHeight="1" x14ac:dyDescent="0.4">
      <c r="A27" s="109" t="s">
        <v>48</v>
      </c>
      <c r="B27" s="297" t="s">
        <v>127</v>
      </c>
      <c r="C27" s="297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49</v>
      </c>
      <c r="B29" s="111">
        <v>0</v>
      </c>
      <c r="C29" s="298" t="s">
        <v>50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361.37</v>
      </c>
      <c r="C31" s="301" t="s">
        <v>53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370.37</v>
      </c>
      <c r="C32" s="301" t="s">
        <v>55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0.97569997569997569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4" t="s">
        <v>59</v>
      </c>
      <c r="E36" s="305"/>
      <c r="F36" s="304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11605548</v>
      </c>
      <c r="E38" s="133">
        <f>IF(ISBLANK(D38),"-",$D$48/$D$45*D38)</f>
        <v>10968671.801226024</v>
      </c>
      <c r="F38" s="132">
        <v>11488473</v>
      </c>
      <c r="G38" s="134">
        <f>IF(ISBLANK(F38),"-",$D$48/$F$45*F38)</f>
        <v>11225126.048094749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11574855</v>
      </c>
      <c r="E39" s="138">
        <f>IF(ISBLANK(D39),"-",$D$48/$D$45*D39)</f>
        <v>10939663.137128901</v>
      </c>
      <c r="F39" s="137">
        <v>11502046</v>
      </c>
      <c r="G39" s="139">
        <f>IF(ISBLANK(F39),"-",$D$48/$F$45*F39)</f>
        <v>11238387.918131854</v>
      </c>
      <c r="I39" s="308">
        <f>ABS((F43/D43*D42)-F42)/D42</f>
        <v>2.4872149135367831E-2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11569639</v>
      </c>
      <c r="E40" s="138">
        <f>IF(ISBLANK(D40),"-",$D$48/$D$45*D40)</f>
        <v>10934733.374905247</v>
      </c>
      <c r="F40" s="137">
        <v>11487372</v>
      </c>
      <c r="G40" s="139">
        <f>IF(ISBLANK(F40),"-",$D$48/$F$45*F40)</f>
        <v>11224050.286000088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11583347.333333334</v>
      </c>
      <c r="E42" s="148">
        <f>AVERAGE(E38:E41)</f>
        <v>10947689.437753391</v>
      </c>
      <c r="F42" s="147">
        <f>AVERAGE(F38:F41)</f>
        <v>11492630.333333334</v>
      </c>
      <c r="G42" s="149">
        <f>AVERAGE(G38:G41)</f>
        <v>11229188.084075565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21.71</v>
      </c>
      <c r="E43" s="140"/>
      <c r="F43" s="152">
        <v>21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21.182446472446472</v>
      </c>
      <c r="E44" s="155"/>
      <c r="F44" s="154">
        <f>F43*$B$34</f>
        <v>20.48969948969949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2000</v>
      </c>
      <c r="C45" s="153" t="s">
        <v>77</v>
      </c>
      <c r="D45" s="157">
        <f>D44*$B$30/100</f>
        <v>21.161264025974027</v>
      </c>
      <c r="E45" s="158"/>
      <c r="F45" s="157">
        <f>F44*$B$30/100</f>
        <v>20.469209790209792</v>
      </c>
      <c r="H45" s="150"/>
    </row>
    <row r="46" spans="1:14" ht="19.5" customHeight="1" x14ac:dyDescent="0.3">
      <c r="A46" s="309" t="s">
        <v>78</v>
      </c>
      <c r="B46" s="310"/>
      <c r="C46" s="153" t="s">
        <v>79</v>
      </c>
      <c r="D46" s="159">
        <f>D45/$B$45</f>
        <v>1.0580632012987014E-2</v>
      </c>
      <c r="E46" s="160"/>
      <c r="F46" s="161">
        <f>F45/$B$45</f>
        <v>1.0234604895104896E-2</v>
      </c>
      <c r="H46" s="150"/>
    </row>
    <row r="47" spans="1:14" ht="27" customHeight="1" x14ac:dyDescent="0.4">
      <c r="A47" s="311"/>
      <c r="B47" s="312"/>
      <c r="C47" s="162" t="s">
        <v>80</v>
      </c>
      <c r="D47" s="163"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20.498104435896728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11088438.760914477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1.3951576358637547E-2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- coated tablet contains: Levofloxacin Hemihydrate equivalent to Levofloxacin 500 mg.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>Levofloxacin hemihydrate equivalent to Levofloxacin 500mg.</v>
      </c>
      <c r="H56" s="179"/>
    </row>
    <row r="57" spans="1:12" ht="18.75" x14ac:dyDescent="0.3">
      <c r="A57" s="176" t="s">
        <v>88</v>
      </c>
      <c r="B57" s="268">
        <f>Uniformity!C46</f>
        <v>697.95300000000009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3" t="s">
        <v>94</v>
      </c>
      <c r="D60" s="316">
        <v>345.6</v>
      </c>
      <c r="E60" s="182">
        <v>1</v>
      </c>
      <c r="F60" s="183">
        <v>11254306</v>
      </c>
      <c r="G60" s="269">
        <f>IF(ISBLANK(F60),"-",(F60/$D$50*$D$47*$B$68)*($B$57/$D$60))</f>
        <v>512.43734234720444</v>
      </c>
      <c r="H60" s="184">
        <f t="shared" ref="H60:H71" si="0">IF(ISBLANK(F60),"-",G60/$B$56)</f>
        <v>1.0248746846944088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4"/>
      <c r="D61" s="317"/>
      <c r="E61" s="185">
        <v>2</v>
      </c>
      <c r="F61" s="137">
        <v>11244473</v>
      </c>
      <c r="G61" s="270">
        <f>IF(ISBLANK(F61),"-",(F61/$D$50*$D$47*$B$68)*($B$57/$D$60))</f>
        <v>511.98962070294675</v>
      </c>
      <c r="H61" s="186">
        <f t="shared" si="0"/>
        <v>1.0239792414058935</v>
      </c>
      <c r="L61" s="112"/>
    </row>
    <row r="62" spans="1:12" s="14" customFormat="1" ht="26.25" customHeight="1" x14ac:dyDescent="0.4">
      <c r="A62" s="124" t="s">
        <v>96</v>
      </c>
      <c r="B62" s="125">
        <v>5</v>
      </c>
      <c r="C62" s="314"/>
      <c r="D62" s="317"/>
      <c r="E62" s="185">
        <v>3</v>
      </c>
      <c r="F62" s="187">
        <v>11238191</v>
      </c>
      <c r="G62" s="270">
        <f>IF(ISBLANK(F62),"-",(F62/$D$50*$D$47*$B$68)*($B$57/$D$60))</f>
        <v>511.70358517266834</v>
      </c>
      <c r="H62" s="186">
        <f t="shared" si="0"/>
        <v>1.0234071703453367</v>
      </c>
      <c r="L62" s="112"/>
    </row>
    <row r="63" spans="1:12" ht="27" customHeight="1" x14ac:dyDescent="0.4">
      <c r="A63" s="124" t="s">
        <v>97</v>
      </c>
      <c r="B63" s="125">
        <v>50</v>
      </c>
      <c r="C63" s="315"/>
      <c r="D63" s="318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3" t="s">
        <v>99</v>
      </c>
      <c r="D64" s="316">
        <v>353.4</v>
      </c>
      <c r="E64" s="182">
        <v>1</v>
      </c>
      <c r="F64" s="183">
        <v>11253536</v>
      </c>
      <c r="G64" s="271">
        <f>IF(ISBLANK(F64),"-",(F64/$D$50*$D$47*$B$68)*($B$57/$D$64))</f>
        <v>501.09289404380394</v>
      </c>
      <c r="H64" s="190">
        <f t="shared" si="0"/>
        <v>1.0021857880876079</v>
      </c>
    </row>
    <row r="65" spans="1:8" ht="26.25" customHeight="1" x14ac:dyDescent="0.4">
      <c r="A65" s="124" t="s">
        <v>100</v>
      </c>
      <c r="B65" s="125">
        <v>1</v>
      </c>
      <c r="C65" s="314"/>
      <c r="D65" s="317"/>
      <c r="E65" s="185">
        <v>2</v>
      </c>
      <c r="F65" s="137">
        <v>11439650</v>
      </c>
      <c r="G65" s="272">
        <f>IF(ISBLANK(F65),"-",(F65/$D$50*$D$47*$B$68)*($B$57/$D$64))</f>
        <v>509.38010287150655</v>
      </c>
      <c r="H65" s="191">
        <f t="shared" si="0"/>
        <v>1.0187602057430132</v>
      </c>
    </row>
    <row r="66" spans="1:8" ht="26.25" customHeight="1" x14ac:dyDescent="0.4">
      <c r="A66" s="124" t="s">
        <v>101</v>
      </c>
      <c r="B66" s="125">
        <v>1</v>
      </c>
      <c r="C66" s="314"/>
      <c r="D66" s="317"/>
      <c r="E66" s="185">
        <v>3</v>
      </c>
      <c r="F66" s="137">
        <v>11254923</v>
      </c>
      <c r="G66" s="272">
        <f>IF(ISBLANK(F66),"-",(F66/$D$50*$D$47*$B$68)*($B$57/$D$64))</f>
        <v>501.15465381815739</v>
      </c>
      <c r="H66" s="191">
        <f t="shared" si="0"/>
        <v>1.0023093076363148</v>
      </c>
    </row>
    <row r="67" spans="1:8" ht="27" customHeight="1" x14ac:dyDescent="0.4">
      <c r="A67" s="124" t="s">
        <v>102</v>
      </c>
      <c r="B67" s="125">
        <v>1</v>
      </c>
      <c r="C67" s="315"/>
      <c r="D67" s="318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25000</v>
      </c>
      <c r="C68" s="313" t="s">
        <v>104</v>
      </c>
      <c r="D68" s="316">
        <v>352.4</v>
      </c>
      <c r="E68" s="182">
        <v>1</v>
      </c>
      <c r="F68" s="183"/>
      <c r="G68" s="271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105</v>
      </c>
      <c r="B69" s="194">
        <f>(D47*B68)/B56*B57</f>
        <v>348.97650000000004</v>
      </c>
      <c r="C69" s="314"/>
      <c r="D69" s="317"/>
      <c r="E69" s="185">
        <v>2</v>
      </c>
      <c r="F69" s="137"/>
      <c r="G69" s="272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26" t="s">
        <v>78</v>
      </c>
      <c r="B70" s="327"/>
      <c r="C70" s="314"/>
      <c r="D70" s="317"/>
      <c r="E70" s="185">
        <v>3</v>
      </c>
      <c r="F70" s="137"/>
      <c r="G70" s="272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328"/>
      <c r="B71" s="329"/>
      <c r="C71" s="325"/>
      <c r="D71" s="318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507.95969982604788</v>
      </c>
      <c r="H72" s="199">
        <f>AVERAGE(H60:H71)</f>
        <v>1.0159193996520959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1.0630233785111661E-2</v>
      </c>
      <c r="H73" s="274">
        <f>STDEV(H60:H71)/H72</f>
        <v>1.0630233785111631E-2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321" t="str">
        <f>B20</f>
        <v>Levofloxacin hemihydrate equivalent to Levofloxacin 500mg.</v>
      </c>
      <c r="D76" s="321"/>
      <c r="E76" s="205" t="s">
        <v>108</v>
      </c>
      <c r="F76" s="205"/>
      <c r="G76" s="206">
        <f>H72</f>
        <v>1.0159193996520959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7" t="str">
        <f>B26</f>
        <v>Levofloxacin Hemihydrate</v>
      </c>
      <c r="C79" s="307"/>
    </row>
    <row r="80" spans="1:8" ht="26.25" customHeight="1" x14ac:dyDescent="0.4">
      <c r="A80" s="109" t="s">
        <v>48</v>
      </c>
      <c r="B80" s="307" t="str">
        <f>B27</f>
        <v>L11-2</v>
      </c>
      <c r="C80" s="307"/>
    </row>
    <row r="81" spans="1:12" ht="27" customHeight="1" x14ac:dyDescent="0.4">
      <c r="A81" s="109" t="s">
        <v>6</v>
      </c>
      <c r="B81" s="208">
        <f>B28</f>
        <v>99.9</v>
      </c>
    </row>
    <row r="82" spans="1:12" s="14" customFormat="1" ht="27" customHeight="1" x14ac:dyDescent="0.4">
      <c r="A82" s="109" t="s">
        <v>49</v>
      </c>
      <c r="B82" s="111">
        <v>0</v>
      </c>
      <c r="C82" s="298" t="s">
        <v>50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361.37</v>
      </c>
      <c r="C84" s="301" t="s">
        <v>111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370.37</v>
      </c>
      <c r="C85" s="301" t="s">
        <v>112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0.97569997569997569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4" t="s">
        <v>60</v>
      </c>
      <c r="G89" s="306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0.73699999999999999</v>
      </c>
      <c r="E91" s="133">
        <f>IF(ISBLANK(D91),"-",$D$101/$D$98*D91)</f>
        <v>0.75037836898348287</v>
      </c>
      <c r="F91" s="132">
        <v>0.76349999999999996</v>
      </c>
      <c r="G91" s="134">
        <f>IF(ISBLANK(F91),"-",$D$101/$F$98*F91)</f>
        <v>0.75654693563169606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0.74019999999999997</v>
      </c>
      <c r="E92" s="138">
        <f>IF(ISBLANK(D92),"-",$D$101/$D$98*D92)</f>
        <v>0.75363645688137593</v>
      </c>
      <c r="F92" s="137">
        <v>0.76449999999999996</v>
      </c>
      <c r="G92" s="139">
        <f>IF(ISBLANK(F92),"-",$D$101/$F$98*F92)</f>
        <v>0.75753782880213705</v>
      </c>
      <c r="I92" s="308">
        <f>ABS((F96/D96*D95)-F95)/D95</f>
        <v>5.293311186525259E-3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0.74209999999999998</v>
      </c>
      <c r="E93" s="138">
        <f>IF(ISBLANK(D93),"-",$D$101/$D$98*D93)</f>
        <v>0.75557094657074986</v>
      </c>
      <c r="F93" s="137">
        <v>0.7641</v>
      </c>
      <c r="G93" s="139">
        <f>IF(ISBLANK(F93),"-",$D$101/$F$98*F93)</f>
        <v>0.75714147153396072</v>
      </c>
      <c r="I93" s="308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0.73976666666666657</v>
      </c>
      <c r="E95" s="148">
        <f>AVERAGE(E91:E94)</f>
        <v>0.75319525747853622</v>
      </c>
      <c r="F95" s="218">
        <f>AVERAGE(F91:F94)</f>
        <v>0.76403333333333334</v>
      </c>
      <c r="G95" s="219">
        <f>AVERAGE(G91:G94)</f>
        <v>0.75707541198926454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27.99</v>
      </c>
      <c r="E96" s="140"/>
      <c r="F96" s="152">
        <v>28.76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27.309842319842318</v>
      </c>
      <c r="E97" s="155"/>
      <c r="F97" s="154">
        <f>F96*$B$87</f>
        <v>28.061131301131301</v>
      </c>
    </row>
    <row r="98" spans="1:10" ht="19.5" customHeight="1" x14ac:dyDescent="0.3">
      <c r="A98" s="124" t="s">
        <v>76</v>
      </c>
      <c r="B98" s="224">
        <f>(B97/B96)*(B95/B94)*(B93/B92)*(B91/B90)*B89</f>
        <v>3333.3333333333335</v>
      </c>
      <c r="C98" s="222" t="s">
        <v>115</v>
      </c>
      <c r="D98" s="225">
        <f>D97*$B$83/100</f>
        <v>27.282532477522476</v>
      </c>
      <c r="E98" s="158"/>
      <c r="F98" s="157">
        <f>F97*$B$83/100</f>
        <v>28.033070169830172</v>
      </c>
    </row>
    <row r="99" spans="1:10" ht="19.5" customHeight="1" x14ac:dyDescent="0.3">
      <c r="A99" s="309" t="s">
        <v>78</v>
      </c>
      <c r="B99" s="323"/>
      <c r="C99" s="222" t="s">
        <v>116</v>
      </c>
      <c r="D99" s="226">
        <f>D98/$B$98</f>
        <v>8.1847597432567424E-3</v>
      </c>
      <c r="E99" s="158"/>
      <c r="F99" s="161">
        <f>F98/$B$98</f>
        <v>8.4099210509490513E-3</v>
      </c>
      <c r="G99" s="227"/>
      <c r="H99" s="150"/>
    </row>
    <row r="100" spans="1:10" ht="19.5" customHeight="1" x14ac:dyDescent="0.3">
      <c r="A100" s="311"/>
      <c r="B100" s="324"/>
      <c r="C100" s="222" t="s">
        <v>80</v>
      </c>
      <c r="D100" s="228">
        <f>$B$56/$B$116</f>
        <v>8.3333333333333315E-3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27.777777777777771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28.469589494301001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0.7551353347339006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3.5952927688618322E-3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3</v>
      </c>
      <c r="C108" s="243">
        <v>1</v>
      </c>
      <c r="D108" s="244">
        <v>0.76639999999999997</v>
      </c>
      <c r="E108" s="275">
        <f t="shared" ref="E108:E113" si="1">IF(ISBLANK(D108),"-",D108/$D$103*$D$100*$B$116)</f>
        <v>507.45870623976884</v>
      </c>
      <c r="F108" s="245">
        <f t="shared" ref="F108:F113" si="2">IF(ISBLANK(D108), "-", E108/$B$56)</f>
        <v>1.0149174124795377</v>
      </c>
    </row>
    <row r="109" spans="1:10" ht="26.25" customHeight="1" x14ac:dyDescent="0.4">
      <c r="A109" s="124" t="s">
        <v>95</v>
      </c>
      <c r="B109" s="125">
        <v>100</v>
      </c>
      <c r="C109" s="243">
        <v>2</v>
      </c>
      <c r="D109" s="244">
        <v>0.75739999999999996</v>
      </c>
      <c r="E109" s="276">
        <f t="shared" si="1"/>
        <v>501.49950953288226</v>
      </c>
      <c r="F109" s="246">
        <f t="shared" si="2"/>
        <v>1.0029990190657645</v>
      </c>
    </row>
    <row r="110" spans="1:10" ht="26.25" customHeight="1" x14ac:dyDescent="0.4">
      <c r="A110" s="124" t="s">
        <v>96</v>
      </c>
      <c r="B110" s="125">
        <v>10</v>
      </c>
      <c r="C110" s="243">
        <v>3</v>
      </c>
      <c r="D110" s="244">
        <v>0.75029999999999997</v>
      </c>
      <c r="E110" s="276">
        <f t="shared" si="1"/>
        <v>496.7983654641161</v>
      </c>
      <c r="F110" s="246">
        <f t="shared" si="2"/>
        <v>0.9935967309282322</v>
      </c>
    </row>
    <row r="111" spans="1:10" ht="26.25" customHeight="1" x14ac:dyDescent="0.4">
      <c r="A111" s="124" t="s">
        <v>97</v>
      </c>
      <c r="B111" s="125">
        <v>20</v>
      </c>
      <c r="C111" s="243">
        <v>4</v>
      </c>
      <c r="D111" s="244">
        <v>0.74439999999999995</v>
      </c>
      <c r="E111" s="276">
        <f t="shared" si="1"/>
        <v>492.89178095626812</v>
      </c>
      <c r="F111" s="246">
        <f t="shared" si="2"/>
        <v>0.98578356191253624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0.74590000000000001</v>
      </c>
      <c r="E112" s="276">
        <f t="shared" si="1"/>
        <v>493.88498040741592</v>
      </c>
      <c r="F112" s="246">
        <f t="shared" si="2"/>
        <v>0.98776996081483182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0.75109999999999999</v>
      </c>
      <c r="E113" s="277">
        <f t="shared" si="1"/>
        <v>497.32807183806153</v>
      </c>
      <c r="F113" s="249">
        <f t="shared" si="2"/>
        <v>0.99465614367612309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498.31023573975216</v>
      </c>
      <c r="F115" s="252">
        <f>AVERAGE(F108:F113)</f>
        <v>0.99662047147950428</v>
      </c>
    </row>
    <row r="116" spans="1:10" ht="27" customHeight="1" x14ac:dyDescent="0.4">
      <c r="A116" s="124" t="s">
        <v>103</v>
      </c>
      <c r="B116" s="156">
        <f>(B115/B114)*(B113/B112)*(B111/B110)*(B109/B108)*B107</f>
        <v>60000.000000000007</v>
      </c>
      <c r="C116" s="253"/>
      <c r="D116" s="216" t="s">
        <v>84</v>
      </c>
      <c r="E116" s="254">
        <f>STDEV(E108:E113)/E115</f>
        <v>1.0846240350084703E-2</v>
      </c>
      <c r="F116" s="254">
        <f>STDEV(F108:F113)/F115</f>
        <v>1.0846240350084711E-2</v>
      </c>
      <c r="I116" s="98"/>
    </row>
    <row r="117" spans="1:10" ht="27" customHeight="1" x14ac:dyDescent="0.4">
      <c r="A117" s="309" t="s">
        <v>78</v>
      </c>
      <c r="B117" s="310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1"/>
      <c r="B118" s="31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1" t="str">
        <f>B20</f>
        <v>Levofloxacin hemihydrate equivalent to Levofloxacin 500mg.</v>
      </c>
      <c r="D120" s="321"/>
      <c r="E120" s="205" t="s">
        <v>124</v>
      </c>
      <c r="F120" s="205"/>
      <c r="G120" s="206">
        <f>F115</f>
        <v>0.99662047147950428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2" t="s">
        <v>26</v>
      </c>
      <c r="C122" s="322"/>
      <c r="E122" s="211" t="s">
        <v>27</v>
      </c>
      <c r="F122" s="260"/>
      <c r="G122" s="322" t="s">
        <v>28</v>
      </c>
      <c r="H122" s="322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Levofoxacin</vt:lpstr>
      <vt:lpstr>Levofoxacin!Print_Area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2016-06-28T11:26:40Z</cp:lastPrinted>
  <dcterms:created xsi:type="dcterms:W3CDTF">2005-07-05T10:19:27Z</dcterms:created>
  <dcterms:modified xsi:type="dcterms:W3CDTF">2016-06-28T11:37:38Z</dcterms:modified>
</cp:coreProperties>
</file>