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2"/>
  </bookViews>
  <sheets>
    <sheet name="SST" sheetId="1" r:id="rId1"/>
    <sheet name="Uniformity" sheetId="2" r:id="rId2"/>
    <sheet name="Ethambutol HCL" sheetId="3" r:id="rId3"/>
  </sheets>
  <definedNames>
    <definedName name="_xlnm.Print_Area" localSheetId="2">'Ethambutol HCL'!$A$1:$I$125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7" i="3" l="1"/>
  <c r="F96" i="3"/>
  <c r="D96" i="3"/>
  <c r="C120" i="3" l="1"/>
  <c r="B116" i="3"/>
  <c r="D100" i="3" s="1"/>
  <c r="B98" i="3"/>
  <c r="D97" i="3"/>
  <c r="F95" i="3"/>
  <c r="D95" i="3"/>
  <c r="B87" i="3"/>
  <c r="F97" i="3" s="1"/>
  <c r="B83" i="3"/>
  <c r="B80" i="3"/>
  <c r="B79" i="3"/>
  <c r="C76" i="3"/>
  <c r="B68" i="3"/>
  <c r="C56" i="3"/>
  <c r="B55" i="3"/>
  <c r="B45" i="3"/>
  <c r="D48" i="3" s="1"/>
  <c r="F42" i="3"/>
  <c r="D42" i="3"/>
  <c r="B34" i="3"/>
  <c r="D44" i="3" s="1"/>
  <c r="D45" i="3" s="1"/>
  <c r="B30" i="3"/>
  <c r="C46" i="2"/>
  <c r="D50" i="2" s="1"/>
  <c r="C45" i="2"/>
  <c r="D33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I39" i="3"/>
  <c r="I92" i="3"/>
  <c r="D49" i="3"/>
  <c r="D102" i="3"/>
  <c r="D46" i="3"/>
  <c r="E38" i="3"/>
  <c r="D98" i="3"/>
  <c r="E94" i="3" s="1"/>
  <c r="F98" i="3"/>
  <c r="G92" i="3" s="1"/>
  <c r="D29" i="2"/>
  <c r="D37" i="2"/>
  <c r="D41" i="2"/>
  <c r="D27" i="2"/>
  <c r="D31" i="2"/>
  <c r="D35" i="2"/>
  <c r="D39" i="2"/>
  <c r="D43" i="2"/>
  <c r="C49" i="2"/>
  <c r="E39" i="3"/>
  <c r="F44" i="3"/>
  <c r="F45" i="3" s="1"/>
  <c r="G39" i="3" s="1"/>
  <c r="D28" i="2"/>
  <c r="D32" i="2"/>
  <c r="D36" i="2"/>
  <c r="D40" i="2"/>
  <c r="D49" i="2"/>
  <c r="E41" i="3"/>
  <c r="B69" i="3"/>
  <c r="C50" i="2"/>
  <c r="D26" i="2"/>
  <c r="D30" i="2"/>
  <c r="D34" i="2"/>
  <c r="D38" i="2"/>
  <c r="D42" i="2"/>
  <c r="B49" i="2"/>
  <c r="E40" i="3"/>
  <c r="G93" i="3" l="1"/>
  <c r="E92" i="3"/>
  <c r="E42" i="3"/>
  <c r="G41" i="3"/>
  <c r="F46" i="3"/>
  <c r="G91" i="3"/>
  <c r="F99" i="3"/>
  <c r="G38" i="3"/>
  <c r="G94" i="3"/>
  <c r="G40" i="3"/>
  <c r="D99" i="3"/>
  <c r="E93" i="3"/>
  <c r="E91" i="3"/>
  <c r="G95" i="3" l="1"/>
  <c r="D52" i="3"/>
  <c r="D50" i="3"/>
  <c r="G64" i="3" s="1"/>
  <c r="H64" i="3" s="1"/>
  <c r="G42" i="3"/>
  <c r="G63" i="3"/>
  <c r="H63" i="3" s="1"/>
  <c r="E95" i="3"/>
  <c r="D105" i="3"/>
  <c r="D103" i="3"/>
  <c r="G65" i="3" l="1"/>
  <c r="H65" i="3" s="1"/>
  <c r="G66" i="3"/>
  <c r="H66" i="3" s="1"/>
  <c r="G70" i="3"/>
  <c r="H70" i="3" s="1"/>
  <c r="G69" i="3"/>
  <c r="H69" i="3" s="1"/>
  <c r="D51" i="3"/>
  <c r="G71" i="3"/>
  <c r="H71" i="3" s="1"/>
  <c r="G60" i="3"/>
  <c r="H60" i="3" s="1"/>
  <c r="G68" i="3"/>
  <c r="H68" i="3" s="1"/>
  <c r="G61" i="3"/>
  <c r="H61" i="3" s="1"/>
  <c r="G67" i="3"/>
  <c r="H67" i="3" s="1"/>
  <c r="G62" i="3"/>
  <c r="H62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3" l="1"/>
  <c r="G73" i="3" s="1"/>
  <c r="G74" i="3"/>
  <c r="E115" i="3"/>
  <c r="E116" i="3" s="1"/>
  <c r="E117" i="3"/>
  <c r="F108" i="3"/>
  <c r="H74" i="3"/>
  <c r="H72" i="3"/>
  <c r="F117" i="3" l="1"/>
  <c r="F115" i="3"/>
  <c r="G76" i="3"/>
  <c r="H73" i="3"/>
  <c r="G120" i="3" l="1"/>
  <c r="F116" i="3"/>
</calcChain>
</file>

<file path=xl/sharedStrings.xml><?xml version="1.0" encoding="utf-8"?>
<sst xmlns="http://schemas.openxmlformats.org/spreadsheetml/2006/main" count="235" uniqueCount="126">
  <si>
    <t>HPLC System Suitability Report</t>
  </si>
  <si>
    <t>Analysis Data</t>
  </si>
  <si>
    <t>Assay</t>
  </si>
  <si>
    <t>Sample(s)</t>
  </si>
  <si>
    <t>Reference Substance:</t>
  </si>
  <si>
    <t>EMB-FATOL TABLETS</t>
  </si>
  <si>
    <t>% age Purity:</t>
  </si>
  <si>
    <t>NDQD2016061119</t>
  </si>
  <si>
    <t>Weight (mg):</t>
  </si>
  <si>
    <t>Ethambutol</t>
  </si>
  <si>
    <t>Standard Conc (mg/mL):</t>
  </si>
  <si>
    <t>Ethambutol 100mg</t>
  </si>
  <si>
    <t>2016-06-10 14:37:59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</si>
  <si>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</si>
  <si>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</si>
  <si>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</si>
  <si>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</si>
  <si>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</si>
  <si>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</si>
  <si>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</si>
  <si>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</si>
  <si>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</si>
  <si>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</si>
  <si>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</si>
  <si>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</si>
  <si>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</si>
  <si>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</si>
  <si>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</si>
  <si>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</si>
  <si>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</si>
  <si>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</si>
  <si>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</si>
  <si>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</si>
  <si>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</si>
  <si>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</si>
  <si>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</si>
  <si>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</si>
  <si>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</si>
  <si>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</si>
  <si>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</si>
  <si>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</si>
  <si>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</si>
  <si>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</si>
  <si>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</si>
  <si>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</si>
  <si>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</si>
  <si>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</si>
  <si>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</si>
  <si>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</si>
  <si>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</si>
  <si>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</si>
  <si>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</si>
  <si>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</si>
  <si>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</si>
  <si>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</si>
  <si>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</si>
  <si>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</si>
  <si>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</si>
  <si>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</si>
  <si>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</si>
  <si>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</si>
  <si>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</si>
  <si>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</si>
  <si>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</si>
  <si>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</si>
  <si>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</si>
  <si>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</si>
  <si>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</si>
  <si>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</si>
  <si>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</si>
  <si>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</si>
  <si>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</si>
  <si>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</si>
  <si>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</si>
  <si>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</si>
  <si>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</si>
  <si>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</si>
  <si>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</si>
  <si>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</si>
  <si>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</si>
  <si>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</si>
  <si>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</si>
  <si>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</si>
  <si>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</si>
  <si>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</si>
  <si>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</si>
  <si>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</si>
  <si>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</si>
  <si>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</si>
  <si>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</si>
  <si>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</si>
  <si>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</si>
  <si>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</si>
  <si>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</si>
  <si>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</si>
  <si>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</si>
  <si>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</si>
  <si>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</si>
  <si>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</si>
  <si>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</si>
  <si>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</si>
  <si>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</si>
  <si>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</si>
  <si>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</si>
  <si>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</si>
  <si>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</si>
  <si>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</si>
  <si>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</si>
  <si>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</si>
  <si>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</si>
  <si>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</si>
  <si>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</si>
  <si>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</si>
  <si>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</si>
  <si>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</si>
  <si>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</si>
  <si>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</si>
  <si>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</si>
  <si>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</si>
  <si>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</si>
  <si>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</si>
  <si>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</si>
  <si>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</si>
  <si>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</si>
  <si>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</si>
  <si>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E12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</si>
</sst>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5" fillId="3" borderId="29" xfId="1" applyFont="1" applyFill="1" applyBorder="1" applyAlignment="1" applyProtection="1">
      <alignment horizontal="center"/>
      <protection locked="0"/>
    </xf>
    <xf numFmtId="0" fontId="25" fillId="3" borderId="23" xfId="1" applyFont="1" applyFill="1" applyBorder="1" applyAlignment="1" applyProtection="1">
      <alignment horizontal="center"/>
      <protection locked="0"/>
    </xf>
    <xf numFmtId="0" fontId="25" fillId="3" borderId="34" xfId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6" workbookViewId="0">
      <selection activeCell="B58" sqref="B5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4" t="s">
        <v>26</v>
      </c>
      <c r="C59" s="28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8" t="s">
        <v>31</v>
      </c>
      <c r="B11" s="289"/>
      <c r="C11" s="289"/>
      <c r="D11" s="289"/>
      <c r="E11" s="289"/>
      <c r="F11" s="290"/>
      <c r="G11" s="91"/>
    </row>
    <row r="12" spans="1:7" ht="16.5" customHeight="1" x14ac:dyDescent="0.3">
      <c r="A12" s="287" t="s">
        <v>32</v>
      </c>
      <c r="B12" s="287"/>
      <c r="C12" s="287"/>
      <c r="D12" s="287"/>
      <c r="E12" s="287"/>
      <c r="F12" s="287"/>
      <c r="G12" s="90"/>
    </row>
    <row r="14" spans="1:7" ht="16.5" customHeight="1" x14ac:dyDescent="0.3">
      <c r="A14" s="292" t="s">
        <v>33</v>
      </c>
      <c r="B14" s="292"/>
      <c r="C14" s="60" t="s">
        <v>5</v>
      </c>
    </row>
    <row r="15" spans="1:7" ht="16.5" customHeight="1" x14ac:dyDescent="0.3">
      <c r="A15" s="292" t="s">
        <v>34</v>
      </c>
      <c r="B15" s="292"/>
      <c r="C15" s="60" t="s">
        <v>7</v>
      </c>
    </row>
    <row r="16" spans="1:7" ht="16.5" customHeight="1" x14ac:dyDescent="0.3">
      <c r="A16" s="292" t="s">
        <v>35</v>
      </c>
      <c r="B16" s="292"/>
      <c r="C16" s="60" t="s">
        <v>9</v>
      </c>
    </row>
    <row r="17" spans="1:5" ht="16.5" customHeight="1" x14ac:dyDescent="0.3">
      <c r="A17" s="292" t="s">
        <v>36</v>
      </c>
      <c r="B17" s="292"/>
      <c r="C17" s="60" t="s">
        <v>11</v>
      </c>
    </row>
    <row r="18" spans="1:5" ht="16.5" customHeight="1" x14ac:dyDescent="0.3">
      <c r="A18" s="292" t="s">
        <v>37</v>
      </c>
      <c r="B18" s="292"/>
      <c r="C18" s="97" t="s">
        <v>12</v>
      </c>
    </row>
    <row r="19" spans="1:5" ht="16.5" customHeight="1" x14ac:dyDescent="0.3">
      <c r="A19" s="292" t="s">
        <v>38</v>
      </c>
      <c r="B19" s="29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7" t="s">
        <v>1</v>
      </c>
      <c r="B21" s="287"/>
      <c r="C21" s="59" t="s">
        <v>39</v>
      </c>
      <c r="D21" s="66"/>
    </row>
    <row r="22" spans="1:5" ht="15.75" customHeight="1" x14ac:dyDescent="0.3">
      <c r="A22" s="291"/>
      <c r="B22" s="291"/>
      <c r="C22" s="57"/>
      <c r="D22" s="291"/>
      <c r="E22" s="291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144.30000000000001</v>
      </c>
      <c r="D24" s="87">
        <f t="shared" ref="D24:D43" si="0">(C24-$C$46)/$C$46</f>
        <v>9.9066028855474778E-3</v>
      </c>
      <c r="E24" s="53"/>
    </row>
    <row r="25" spans="1:5" ht="15.75" customHeight="1" x14ac:dyDescent="0.3">
      <c r="C25" s="95">
        <v>142.81</v>
      </c>
      <c r="D25" s="88">
        <f t="shared" si="0"/>
        <v>-5.2140015187091991E-4</v>
      </c>
      <c r="E25" s="53"/>
    </row>
    <row r="26" spans="1:5" ht="15.75" customHeight="1" x14ac:dyDescent="0.3">
      <c r="C26" s="95">
        <v>141.9</v>
      </c>
      <c r="D26" s="88">
        <f t="shared" si="0"/>
        <v>-6.8901805304284018E-3</v>
      </c>
      <c r="E26" s="53"/>
    </row>
    <row r="27" spans="1:5" ht="15.75" customHeight="1" x14ac:dyDescent="0.3">
      <c r="C27" s="95">
        <v>142.18</v>
      </c>
      <c r="D27" s="88">
        <f t="shared" si="0"/>
        <v>-4.9305557985645457E-3</v>
      </c>
      <c r="E27" s="53"/>
    </row>
    <row r="28" spans="1:5" ht="15.75" customHeight="1" x14ac:dyDescent="0.3">
      <c r="C28" s="95">
        <v>141.32</v>
      </c>
      <c r="D28" s="88">
        <f t="shared" si="0"/>
        <v>-1.0949403189289319E-2</v>
      </c>
      <c r="E28" s="53"/>
    </row>
    <row r="29" spans="1:5" ht="15.75" customHeight="1" x14ac:dyDescent="0.3">
      <c r="C29" s="95">
        <v>142.78</v>
      </c>
      <c r="D29" s="88">
        <f t="shared" si="0"/>
        <v>-7.3135994457062582E-4</v>
      </c>
      <c r="E29" s="53"/>
    </row>
    <row r="30" spans="1:5" ht="15.75" customHeight="1" x14ac:dyDescent="0.3">
      <c r="C30" s="95">
        <v>142.33000000000001</v>
      </c>
      <c r="D30" s="88">
        <f t="shared" si="0"/>
        <v>-3.8807568350660163E-3</v>
      </c>
      <c r="E30" s="53"/>
    </row>
    <row r="31" spans="1:5" ht="15.75" customHeight="1" x14ac:dyDescent="0.3">
      <c r="C31" s="95">
        <v>143.12</v>
      </c>
      <c r="D31" s="88">
        <f t="shared" si="0"/>
        <v>1.648184372692642E-3</v>
      </c>
      <c r="E31" s="53"/>
    </row>
    <row r="32" spans="1:5" ht="15.75" customHeight="1" x14ac:dyDescent="0.3">
      <c r="C32" s="95">
        <v>143.4</v>
      </c>
      <c r="D32" s="88">
        <f t="shared" si="0"/>
        <v>3.607809104556498E-3</v>
      </c>
      <c r="E32" s="53"/>
    </row>
    <row r="33" spans="1:7" ht="15.75" customHeight="1" x14ac:dyDescent="0.3">
      <c r="C33" s="95">
        <v>139.94999999999999</v>
      </c>
      <c r="D33" s="88">
        <f t="shared" si="0"/>
        <v>-2.0537567055908892E-2</v>
      </c>
      <c r="E33" s="53"/>
    </row>
    <row r="34" spans="1:7" ht="15.75" customHeight="1" x14ac:dyDescent="0.3">
      <c r="C34" s="95">
        <v>144.47999999999999</v>
      </c>
      <c r="D34" s="88">
        <f t="shared" si="0"/>
        <v>1.1166361641745514E-2</v>
      </c>
      <c r="E34" s="53"/>
    </row>
    <row r="35" spans="1:7" ht="15.75" customHeight="1" x14ac:dyDescent="0.3">
      <c r="C35" s="95">
        <v>144.9</v>
      </c>
      <c r="D35" s="88">
        <f t="shared" si="0"/>
        <v>1.4105798739541398E-2</v>
      </c>
      <c r="E35" s="53"/>
    </row>
    <row r="36" spans="1:7" ht="15.75" customHeight="1" x14ac:dyDescent="0.3">
      <c r="C36" s="95">
        <v>140.85</v>
      </c>
      <c r="D36" s="88">
        <f t="shared" si="0"/>
        <v>-1.4238773274917911E-2</v>
      </c>
      <c r="E36" s="53"/>
    </row>
    <row r="37" spans="1:7" ht="15.75" customHeight="1" x14ac:dyDescent="0.3">
      <c r="C37" s="95">
        <v>145.09</v>
      </c>
      <c r="D37" s="88">
        <f t="shared" si="0"/>
        <v>1.5435544093306136E-2</v>
      </c>
      <c r="E37" s="53"/>
    </row>
    <row r="38" spans="1:7" ht="15.75" customHeight="1" x14ac:dyDescent="0.3">
      <c r="C38" s="95">
        <v>144.58000000000001</v>
      </c>
      <c r="D38" s="88">
        <f t="shared" si="0"/>
        <v>1.1866227617411334E-2</v>
      </c>
      <c r="E38" s="53"/>
    </row>
    <row r="39" spans="1:7" ht="15.75" customHeight="1" x14ac:dyDescent="0.3">
      <c r="C39" s="95">
        <v>144.58000000000001</v>
      </c>
      <c r="D39" s="88">
        <f t="shared" si="0"/>
        <v>1.1866227617411334E-2</v>
      </c>
      <c r="E39" s="53"/>
    </row>
    <row r="40" spans="1:7" ht="15.75" customHeight="1" x14ac:dyDescent="0.3">
      <c r="C40" s="95">
        <v>142.34</v>
      </c>
      <c r="D40" s="88">
        <f t="shared" si="0"/>
        <v>-3.8107702374995142E-3</v>
      </c>
      <c r="E40" s="53"/>
    </row>
    <row r="41" spans="1:7" ht="15.75" customHeight="1" x14ac:dyDescent="0.3">
      <c r="C41" s="95">
        <v>142.37</v>
      </c>
      <c r="D41" s="88">
        <f t="shared" si="0"/>
        <v>-3.600810444799808E-3</v>
      </c>
      <c r="E41" s="53"/>
    </row>
    <row r="42" spans="1:7" ht="15.75" customHeight="1" x14ac:dyDescent="0.3">
      <c r="C42" s="95">
        <v>141.58000000000001</v>
      </c>
      <c r="D42" s="88">
        <f t="shared" si="0"/>
        <v>-9.1297516525584658E-3</v>
      </c>
      <c r="E42" s="53"/>
    </row>
    <row r="43" spans="1:7" ht="16.5" customHeight="1" x14ac:dyDescent="0.3">
      <c r="C43" s="96">
        <v>142.83000000000001</v>
      </c>
      <c r="D43" s="89">
        <f t="shared" si="0"/>
        <v>-3.8142695673771626E-4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2857.69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142.8845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5">
        <f>C46</f>
        <v>142.8845</v>
      </c>
      <c r="C49" s="93">
        <f>-IF(C46&lt;=80,10%,IF(C46&lt;250,7.5%,5%))</f>
        <v>-7.4999999999999997E-2</v>
      </c>
      <c r="D49" s="81">
        <f>IF(C46&lt;=80,C46*0.9,IF(C46&lt;250,C46*0.925,C46*0.95))</f>
        <v>132.16816250000002</v>
      </c>
    </row>
    <row r="50" spans="1:6" ht="17.25" customHeight="1" x14ac:dyDescent="0.3">
      <c r="B50" s="286"/>
      <c r="C50" s="94">
        <f>IF(C46&lt;=80, 10%, IF(C46&lt;250, 7.5%, 5%))</f>
        <v>7.4999999999999997E-2</v>
      </c>
      <c r="D50" s="81">
        <f>IF(C46&lt;=80, C46*1.1, IF(C46&lt;250, C46*1.075, C46*1.05))</f>
        <v>153.60083749999998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3" zoomScale="60" zoomScaleNormal="40" zoomScalePageLayoutView="50" workbookViewId="0">
      <selection activeCell="E125" sqref="E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1" t="s">
        <v>45</v>
      </c>
      <c r="B1" s="321"/>
      <c r="C1" s="321"/>
      <c r="D1" s="321"/>
      <c r="E1" s="321"/>
      <c r="F1" s="321"/>
      <c r="G1" s="321"/>
      <c r="H1" s="321"/>
      <c r="I1" s="321"/>
    </row>
    <row r="2" spans="1:9" ht="18.75" customHeight="1" x14ac:dyDescent="0.25">
      <c r="A2" s="321"/>
      <c r="B2" s="321"/>
      <c r="C2" s="321"/>
      <c r="D2" s="321"/>
      <c r="E2" s="321"/>
      <c r="F2" s="321"/>
      <c r="G2" s="321"/>
      <c r="H2" s="321"/>
      <c r="I2" s="321"/>
    </row>
    <row r="3" spans="1:9" ht="18.75" customHeight="1" x14ac:dyDescent="0.25">
      <c r="A3" s="321"/>
      <c r="B3" s="321"/>
      <c r="C3" s="321"/>
      <c r="D3" s="321"/>
      <c r="E3" s="321"/>
      <c r="F3" s="321"/>
      <c r="G3" s="321"/>
      <c r="H3" s="321"/>
      <c r="I3" s="321"/>
    </row>
    <row r="4" spans="1:9" ht="18.75" customHeight="1" x14ac:dyDescent="0.25">
      <c r="A4" s="321"/>
      <c r="B4" s="321"/>
      <c r="C4" s="321"/>
      <c r="D4" s="321"/>
      <c r="E4" s="321"/>
      <c r="F4" s="321"/>
      <c r="G4" s="321"/>
      <c r="H4" s="321"/>
      <c r="I4" s="321"/>
    </row>
    <row r="5" spans="1:9" ht="18.75" customHeight="1" x14ac:dyDescent="0.25">
      <c r="A5" s="321"/>
      <c r="B5" s="321"/>
      <c r="C5" s="321"/>
      <c r="D5" s="321"/>
      <c r="E5" s="321"/>
      <c r="F5" s="321"/>
      <c r="G5" s="321"/>
      <c r="H5" s="321"/>
      <c r="I5" s="321"/>
    </row>
    <row r="6" spans="1:9" ht="18.75" customHeight="1" x14ac:dyDescent="0.25">
      <c r="A6" s="321"/>
      <c r="B6" s="321"/>
      <c r="C6" s="321"/>
      <c r="D6" s="321"/>
      <c r="E6" s="321"/>
      <c r="F6" s="321"/>
      <c r="G6" s="321"/>
      <c r="H6" s="321"/>
      <c r="I6" s="321"/>
    </row>
    <row r="7" spans="1:9" ht="18.75" customHeight="1" x14ac:dyDescent="0.25">
      <c r="A7" s="321"/>
      <c r="B7" s="321"/>
      <c r="C7" s="321"/>
      <c r="D7" s="321"/>
      <c r="E7" s="321"/>
      <c r="F7" s="321"/>
      <c r="G7" s="321"/>
      <c r="H7" s="321"/>
      <c r="I7" s="321"/>
    </row>
    <row r="8" spans="1:9" x14ac:dyDescent="0.25">
      <c r="A8" s="322" t="s">
        <v>46</v>
      </c>
      <c r="B8" s="322"/>
      <c r="C8" s="322"/>
      <c r="D8" s="322"/>
      <c r="E8" s="322"/>
      <c r="F8" s="322"/>
      <c r="G8" s="322"/>
      <c r="H8" s="322"/>
      <c r="I8" s="322"/>
    </row>
    <row r="9" spans="1:9" x14ac:dyDescent="0.25">
      <c r="A9" s="322"/>
      <c r="B9" s="322"/>
      <c r="C9" s="322"/>
      <c r="D9" s="322"/>
      <c r="E9" s="322"/>
      <c r="F9" s="322"/>
      <c r="G9" s="322"/>
      <c r="H9" s="322"/>
      <c r="I9" s="322"/>
    </row>
    <row r="10" spans="1:9" x14ac:dyDescent="0.25">
      <c r="A10" s="322"/>
      <c r="B10" s="322"/>
      <c r="C10" s="322"/>
      <c r="D10" s="322"/>
      <c r="E10" s="322"/>
      <c r="F10" s="322"/>
      <c r="G10" s="322"/>
      <c r="H10" s="322"/>
      <c r="I10" s="322"/>
    </row>
    <row r="11" spans="1:9" x14ac:dyDescent="0.25">
      <c r="A11" s="322"/>
      <c r="B11" s="322"/>
      <c r="C11" s="322"/>
      <c r="D11" s="322"/>
      <c r="E11" s="322"/>
      <c r="F11" s="322"/>
      <c r="G11" s="322"/>
      <c r="H11" s="322"/>
      <c r="I11" s="322"/>
    </row>
    <row r="12" spans="1:9" x14ac:dyDescent="0.25">
      <c r="A12" s="322"/>
      <c r="B12" s="322"/>
      <c r="C12" s="322"/>
      <c r="D12" s="322"/>
      <c r="E12" s="322"/>
      <c r="F12" s="322"/>
      <c r="G12" s="322"/>
      <c r="H12" s="322"/>
      <c r="I12" s="322"/>
    </row>
    <row r="13" spans="1:9" x14ac:dyDescent="0.25">
      <c r="A13" s="322"/>
      <c r="B13" s="322"/>
      <c r="C13" s="322"/>
      <c r="D13" s="322"/>
      <c r="E13" s="322"/>
      <c r="F13" s="322"/>
      <c r="G13" s="322"/>
      <c r="H13" s="322"/>
      <c r="I13" s="322"/>
    </row>
    <row r="14" spans="1:9" x14ac:dyDescent="0.25">
      <c r="A14" s="322"/>
      <c r="B14" s="322"/>
      <c r="C14" s="322"/>
      <c r="D14" s="322"/>
      <c r="E14" s="322"/>
      <c r="F14" s="322"/>
      <c r="G14" s="322"/>
      <c r="H14" s="322"/>
      <c r="I14" s="322"/>
    </row>
    <row r="15" spans="1:9" ht="19.5" customHeight="1" x14ac:dyDescent="0.3">
      <c r="A15" s="98"/>
    </row>
    <row r="16" spans="1:9" ht="19.5" customHeight="1" x14ac:dyDescent="0.3">
      <c r="A16" s="294" t="s">
        <v>31</v>
      </c>
      <c r="B16" s="295"/>
      <c r="C16" s="295"/>
      <c r="D16" s="295"/>
      <c r="E16" s="295"/>
      <c r="F16" s="295"/>
      <c r="G16" s="295"/>
      <c r="H16" s="296"/>
    </row>
    <row r="17" spans="1:14" ht="20.25" customHeight="1" x14ac:dyDescent="0.25">
      <c r="A17" s="297" t="s">
        <v>47</v>
      </c>
      <c r="B17" s="297"/>
      <c r="C17" s="297"/>
      <c r="D17" s="297"/>
      <c r="E17" s="297"/>
      <c r="F17" s="297"/>
      <c r="G17" s="297"/>
      <c r="H17" s="297"/>
    </row>
    <row r="18" spans="1:14" ht="26.25" customHeight="1" x14ac:dyDescent="0.4">
      <c r="A18" s="100" t="s">
        <v>33</v>
      </c>
      <c r="B18" s="298" t="s">
        <v>5</v>
      </c>
      <c r="C18" s="298"/>
      <c r="D18" s="26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9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293" t="s">
        <v>9</v>
      </c>
      <c r="C20" s="293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293" t="s">
        <v>11</v>
      </c>
      <c r="C21" s="293"/>
      <c r="D21" s="293"/>
      <c r="E21" s="293"/>
      <c r="F21" s="293"/>
      <c r="G21" s="293"/>
      <c r="H21" s="293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3" t="s">
        <v>9</v>
      </c>
      <c r="C26" s="293"/>
    </row>
    <row r="27" spans="1:14" ht="26.25" customHeight="1" x14ac:dyDescent="0.4">
      <c r="A27" s="109" t="s">
        <v>48</v>
      </c>
      <c r="B27" s="299" t="s">
        <v>125</v>
      </c>
      <c r="C27" s="299"/>
    </row>
    <row r="28" spans="1:14" ht="27" customHeight="1" x14ac:dyDescent="0.4">
      <c r="A28" s="109" t="s">
        <v>6</v>
      </c>
      <c r="B28" s="110">
        <v>100</v>
      </c>
    </row>
    <row r="29" spans="1:14" s="14" customFormat="1" ht="27" customHeight="1" x14ac:dyDescent="0.4">
      <c r="A29" s="109" t="s">
        <v>49</v>
      </c>
      <c r="B29" s="111">
        <v>0</v>
      </c>
      <c r="C29" s="300" t="s">
        <v>50</v>
      </c>
      <c r="D29" s="301"/>
      <c r="E29" s="301"/>
      <c r="F29" s="301"/>
      <c r="G29" s="302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100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3" t="s">
        <v>53</v>
      </c>
      <c r="D31" s="304"/>
      <c r="E31" s="304"/>
      <c r="F31" s="304"/>
      <c r="G31" s="304"/>
      <c r="H31" s="305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3" t="s">
        <v>55</v>
      </c>
      <c r="D32" s="304"/>
      <c r="E32" s="304"/>
      <c r="F32" s="304"/>
      <c r="G32" s="304"/>
      <c r="H32" s="305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306" t="s">
        <v>59</v>
      </c>
      <c r="E36" s="307"/>
      <c r="F36" s="306" t="s">
        <v>60</v>
      </c>
      <c r="G36" s="308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280">
        <v>3246653</v>
      </c>
      <c r="E38" s="133">
        <f>IF(ISBLANK(D38),"-",$D$48/$D$45*D38)</f>
        <v>2928430.2465423937</v>
      </c>
      <c r="F38" s="280">
        <v>2530413</v>
      </c>
      <c r="G38" s="134">
        <f>IF(ISBLANK(F38),"-",$D$48/$F$45*F38)</f>
        <v>2885305.5872291904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281">
        <v>3243670</v>
      </c>
      <c r="E39" s="138">
        <f>IF(ISBLANK(D39),"-",$D$48/$D$45*D39)</f>
        <v>2925739.6271797959</v>
      </c>
      <c r="F39" s="281">
        <v>2527029</v>
      </c>
      <c r="G39" s="139">
        <f>IF(ISBLANK(F39),"-",$D$48/$F$45*F39)</f>
        <v>2881446.9783352339</v>
      </c>
      <c r="I39" s="310">
        <f>ABS((F43/D43*D42)-F42)/D42</f>
        <v>1.1824715094746604E-2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281">
        <v>3239308</v>
      </c>
      <c r="E40" s="138">
        <f>IF(ISBLANK(D40),"-",$D$48/$D$45*D40)</f>
        <v>2921805.1713770297</v>
      </c>
      <c r="F40" s="281">
        <v>2524038</v>
      </c>
      <c r="G40" s="139">
        <f>IF(ISBLANK(F40),"-",$D$48/$F$45*F40)</f>
        <v>2878036.4880273659</v>
      </c>
      <c r="I40" s="310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282"/>
      <c r="E41" s="143" t="str">
        <f>IF(ISBLANK(D41),"-",$D$48/$D$45*D41)</f>
        <v>-</v>
      </c>
      <c r="F41" s="28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3243210.3333333335</v>
      </c>
      <c r="E42" s="148">
        <f>AVERAGE(E38:E41)</f>
        <v>2925325.0150330733</v>
      </c>
      <c r="F42" s="147">
        <f>AVERAGE(F38:F41)</f>
        <v>2527160</v>
      </c>
      <c r="G42" s="149">
        <f>AVERAGE(G38:G41)</f>
        <v>2881596.3511972632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33.26</v>
      </c>
      <c r="E43" s="140"/>
      <c r="F43" s="152">
        <v>26.31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33.26</v>
      </c>
      <c r="E44" s="155"/>
      <c r="F44" s="154">
        <f>F43*$B$34</f>
        <v>26.31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33.26</v>
      </c>
      <c r="E45" s="158"/>
      <c r="F45" s="157">
        <f>F44*$B$30/100</f>
        <v>26.31</v>
      </c>
      <c r="H45" s="150"/>
    </row>
    <row r="46" spans="1:14" ht="19.5" customHeight="1" x14ac:dyDescent="0.3">
      <c r="A46" s="311" t="s">
        <v>78</v>
      </c>
      <c r="B46" s="312"/>
      <c r="C46" s="153" t="s">
        <v>79</v>
      </c>
      <c r="D46" s="159">
        <f>D45/$B$45</f>
        <v>0.33260000000000001</v>
      </c>
      <c r="E46" s="160"/>
      <c r="F46" s="161">
        <f>F45/$B$45</f>
        <v>0.2631</v>
      </c>
      <c r="H46" s="150"/>
    </row>
    <row r="47" spans="1:14" ht="27" customHeight="1" x14ac:dyDescent="0.4">
      <c r="A47" s="313"/>
      <c r="B47" s="314"/>
      <c r="C47" s="162" t="s">
        <v>80</v>
      </c>
      <c r="D47" s="163">
        <v>0.3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30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30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2903460.683115168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8.3188563015657128E-3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Ethambutol 100mg</v>
      </c>
    </row>
    <row r="56" spans="1:12" ht="26.25" customHeight="1" x14ac:dyDescent="0.4">
      <c r="A56" s="177" t="s">
        <v>87</v>
      </c>
      <c r="B56" s="178">
        <v>100</v>
      </c>
      <c r="C56" s="99" t="str">
        <f>B20</f>
        <v>Ethambutol</v>
      </c>
      <c r="H56" s="179"/>
    </row>
    <row r="57" spans="1:12" ht="18.75" x14ac:dyDescent="0.3">
      <c r="A57" s="176" t="s">
        <v>88</v>
      </c>
      <c r="B57" s="267">
        <f>Uniformity!C46</f>
        <v>142.8845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3</v>
      </c>
      <c r="C60" s="315" t="s">
        <v>94</v>
      </c>
      <c r="D60" s="318">
        <v>143.51</v>
      </c>
      <c r="E60" s="182">
        <v>1</v>
      </c>
      <c r="F60" s="183">
        <v>2793055</v>
      </c>
      <c r="G60" s="268">
        <f>IF(ISBLANK(F60),"-",(F60/$D$50*$D$47*$B$68)*($B$57/$D$60))</f>
        <v>95.778160831489828</v>
      </c>
      <c r="H60" s="184">
        <f t="shared" ref="H60:H71" si="0">IF(ISBLANK(F60),"-",G60/$B$56)</f>
        <v>0.95778160831489823</v>
      </c>
      <c r="L60" s="112"/>
    </row>
    <row r="61" spans="1:12" s="14" customFormat="1" ht="26.25" customHeight="1" x14ac:dyDescent="0.4">
      <c r="A61" s="124" t="s">
        <v>95</v>
      </c>
      <c r="B61" s="125">
        <v>10</v>
      </c>
      <c r="C61" s="316"/>
      <c r="D61" s="319"/>
      <c r="E61" s="185">
        <v>2</v>
      </c>
      <c r="F61" s="137">
        <v>2754637</v>
      </c>
      <c r="G61" s="269">
        <f>IF(ISBLANK(F61),"-",(F61/$D$50*$D$47*$B$68)*($B$57/$D$60))</f>
        <v>94.460748398571667</v>
      </c>
      <c r="H61" s="186">
        <f t="shared" si="0"/>
        <v>0.9446074839857167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6"/>
      <c r="D62" s="319"/>
      <c r="E62" s="185">
        <v>3</v>
      </c>
      <c r="F62" s="187">
        <v>2736648</v>
      </c>
      <c r="G62" s="269">
        <f>IF(ISBLANK(F62),"-",(F62/$D$50*$D$47*$B$68)*($B$57/$D$60))</f>
        <v>93.843877862474955</v>
      </c>
      <c r="H62" s="186">
        <f t="shared" si="0"/>
        <v>0.93843877862474956</v>
      </c>
      <c r="L62" s="112"/>
    </row>
    <row r="63" spans="1:12" ht="27" customHeight="1" x14ac:dyDescent="0.4">
      <c r="A63" s="124" t="s">
        <v>97</v>
      </c>
      <c r="B63" s="125">
        <v>1</v>
      </c>
      <c r="C63" s="317"/>
      <c r="D63" s="320"/>
      <c r="E63" s="188">
        <v>4</v>
      </c>
      <c r="F63" s="189"/>
      <c r="G63" s="269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5" t="s">
        <v>99</v>
      </c>
      <c r="D64" s="318">
        <v>142.99</v>
      </c>
      <c r="E64" s="182">
        <v>1</v>
      </c>
      <c r="F64" s="183">
        <v>2813954</v>
      </c>
      <c r="G64" s="270">
        <f>IF(ISBLANK(F64),"-",(F64/$D$50*$D$47*$B$68)*($B$57/$D$64))</f>
        <v>96.84573454585535</v>
      </c>
      <c r="H64" s="190">
        <f t="shared" si="0"/>
        <v>0.96845734545855355</v>
      </c>
    </row>
    <row r="65" spans="1:8" ht="26.25" customHeight="1" x14ac:dyDescent="0.4">
      <c r="A65" s="124" t="s">
        <v>100</v>
      </c>
      <c r="B65" s="125">
        <v>1</v>
      </c>
      <c r="C65" s="316"/>
      <c r="D65" s="319"/>
      <c r="E65" s="185">
        <v>2</v>
      </c>
      <c r="F65" s="137">
        <v>2750231</v>
      </c>
      <c r="G65" s="271">
        <f>IF(ISBLANK(F65),"-",(F65/$D$50*$D$47*$B$68)*($B$57/$D$64))</f>
        <v>94.652628069180352</v>
      </c>
      <c r="H65" s="191">
        <f t="shared" si="0"/>
        <v>0.94652628069180356</v>
      </c>
    </row>
    <row r="66" spans="1:8" ht="26.25" customHeight="1" x14ac:dyDescent="0.4">
      <c r="A66" s="124" t="s">
        <v>101</v>
      </c>
      <c r="B66" s="125">
        <v>1</v>
      </c>
      <c r="C66" s="316"/>
      <c r="D66" s="319"/>
      <c r="E66" s="185">
        <v>3</v>
      </c>
      <c r="F66" s="137">
        <v>2733662</v>
      </c>
      <c r="G66" s="271">
        <f>IF(ISBLANK(F66),"-",(F66/$D$50*$D$47*$B$68)*($B$57/$D$64))</f>
        <v>94.082385280673407</v>
      </c>
      <c r="H66" s="191">
        <f t="shared" si="0"/>
        <v>0.94082385280673408</v>
      </c>
    </row>
    <row r="67" spans="1:8" ht="27" customHeight="1" x14ac:dyDescent="0.4">
      <c r="A67" s="124" t="s">
        <v>102</v>
      </c>
      <c r="B67" s="125">
        <v>1</v>
      </c>
      <c r="C67" s="317"/>
      <c r="D67" s="320"/>
      <c r="E67" s="188">
        <v>4</v>
      </c>
      <c r="F67" s="189"/>
      <c r="G67" s="272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333.33333333333337</v>
      </c>
      <c r="C68" s="315" t="s">
        <v>104</v>
      </c>
      <c r="D68" s="318">
        <v>140.56</v>
      </c>
      <c r="E68" s="182">
        <v>1</v>
      </c>
      <c r="F68" s="183">
        <v>2761558</v>
      </c>
      <c r="G68" s="270">
        <f>IF(ISBLANK(F68),"-",(F68/$D$50*$D$47*$B$68)*($B$57/$D$68))</f>
        <v>96.6855540918841</v>
      </c>
      <c r="H68" s="186">
        <f t="shared" si="0"/>
        <v>0.96685554091884096</v>
      </c>
    </row>
    <row r="69" spans="1:8" ht="27" customHeight="1" x14ac:dyDescent="0.4">
      <c r="A69" s="172" t="s">
        <v>105</v>
      </c>
      <c r="B69" s="194">
        <f>(D47*B68)/B56*B57</f>
        <v>142.88450000000003</v>
      </c>
      <c r="C69" s="316"/>
      <c r="D69" s="319"/>
      <c r="E69" s="185">
        <v>2</v>
      </c>
      <c r="F69" s="137">
        <v>2741160</v>
      </c>
      <c r="G69" s="271">
        <f>IF(ISBLANK(F69),"-",(F69/$D$50*$D$47*$B$68)*($B$57/$D$68))</f>
        <v>95.971394935217376</v>
      </c>
      <c r="H69" s="186">
        <f t="shared" si="0"/>
        <v>0.9597139493521738</v>
      </c>
    </row>
    <row r="70" spans="1:8" ht="26.25" customHeight="1" x14ac:dyDescent="0.4">
      <c r="A70" s="328" t="s">
        <v>78</v>
      </c>
      <c r="B70" s="329"/>
      <c r="C70" s="316"/>
      <c r="D70" s="319"/>
      <c r="E70" s="185">
        <v>3</v>
      </c>
      <c r="F70" s="137">
        <v>2733900</v>
      </c>
      <c r="G70" s="271">
        <f>IF(ISBLANK(F70),"-",(F70/$D$50*$D$47*$B$68)*($B$57/$D$68))</f>
        <v>95.717213374407464</v>
      </c>
      <c r="H70" s="186">
        <f t="shared" si="0"/>
        <v>0.95717213374407462</v>
      </c>
    </row>
    <row r="71" spans="1:8" ht="27" customHeight="1" x14ac:dyDescent="0.4">
      <c r="A71" s="330"/>
      <c r="B71" s="331"/>
      <c r="C71" s="327"/>
      <c r="D71" s="320"/>
      <c r="E71" s="188">
        <v>4</v>
      </c>
      <c r="F71" s="189"/>
      <c r="G71" s="272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7">
        <f>AVERAGE(G60:G71)</f>
        <v>95.33752193219496</v>
      </c>
      <c r="H72" s="199">
        <f>AVERAGE(H60:H71)</f>
        <v>0.95337521932194946</v>
      </c>
    </row>
    <row r="73" spans="1:8" ht="26.25" customHeight="1" x14ac:dyDescent="0.4">
      <c r="C73" s="196"/>
      <c r="D73" s="196"/>
      <c r="E73" s="196"/>
      <c r="F73" s="200" t="s">
        <v>84</v>
      </c>
      <c r="G73" s="273">
        <f>STDEV(G60:G71)/G72</f>
        <v>1.1654280143104732E-2</v>
      </c>
      <c r="H73" s="273">
        <f>STDEV(H60:H71)/H72</f>
        <v>1.1654280143104724E-2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323" t="str">
        <f>B20</f>
        <v>Ethambutol</v>
      </c>
      <c r="D76" s="323"/>
      <c r="E76" s="205" t="s">
        <v>108</v>
      </c>
      <c r="F76" s="205"/>
      <c r="G76" s="206">
        <f>H72</f>
        <v>0.95337521932194946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9" t="str">
        <f>B26</f>
        <v>Ethambutol</v>
      </c>
      <c r="C79" s="309"/>
    </row>
    <row r="80" spans="1:8" ht="26.25" customHeight="1" x14ac:dyDescent="0.4">
      <c r="A80" s="109" t="s">
        <v>48</v>
      </c>
      <c r="B80" s="309" t="str">
        <f>B27</f>
        <v>E12 3</v>
      </c>
      <c r="C80" s="309"/>
    </row>
    <row r="81" spans="1:12" ht="27" customHeight="1" x14ac:dyDescent="0.4">
      <c r="A81" s="109" t="s">
        <v>6</v>
      </c>
      <c r="B81" s="208">
        <v>100</v>
      </c>
    </row>
    <row r="82" spans="1:12" s="14" customFormat="1" ht="27" customHeight="1" x14ac:dyDescent="0.4">
      <c r="A82" s="109" t="s">
        <v>49</v>
      </c>
      <c r="B82" s="111">
        <v>0</v>
      </c>
      <c r="C82" s="300" t="s">
        <v>50</v>
      </c>
      <c r="D82" s="301"/>
      <c r="E82" s="301"/>
      <c r="F82" s="301"/>
      <c r="G82" s="302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100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3" t="s">
        <v>111</v>
      </c>
      <c r="D84" s="304"/>
      <c r="E84" s="304"/>
      <c r="F84" s="304"/>
      <c r="G84" s="304"/>
      <c r="H84" s="305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3" t="s">
        <v>112</v>
      </c>
      <c r="D85" s="304"/>
      <c r="E85" s="304"/>
      <c r="F85" s="304"/>
      <c r="G85" s="304"/>
      <c r="H85" s="305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9" t="s">
        <v>59</v>
      </c>
      <c r="E89" s="210"/>
      <c r="F89" s="306" t="s">
        <v>60</v>
      </c>
      <c r="G89" s="308"/>
    </row>
    <row r="90" spans="1:12" ht="27" customHeight="1" x14ac:dyDescent="0.4">
      <c r="A90" s="124" t="s">
        <v>61</v>
      </c>
      <c r="B90" s="125">
        <v>10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25</v>
      </c>
      <c r="C91" s="213">
        <v>1</v>
      </c>
      <c r="D91" s="132">
        <v>1573425</v>
      </c>
      <c r="E91" s="133">
        <f>IF(ISBLANK(D91),"-",$D$101/$D$98*D91)</f>
        <v>1314078.4726398075</v>
      </c>
      <c r="F91" s="280"/>
      <c r="G91" s="134" t="str">
        <f>IF(ISBLANK(F91),"-",$D$101/$F$98*F91)</f>
        <v>-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1508804</v>
      </c>
      <c r="E92" s="138">
        <f>IF(ISBLANK(D92),"-",$D$101/$D$98*D92)</f>
        <v>1260108.9062604397</v>
      </c>
      <c r="F92" s="281">
        <v>1238552</v>
      </c>
      <c r="G92" s="139">
        <f>IF(ISBLANK(F92),"-",$D$101/$F$98*F92)</f>
        <v>1307648.1270323915</v>
      </c>
      <c r="I92" s="310">
        <f>ABS((F96/D96*D95)-F95)/D95</f>
        <v>5.0187262982169202E-3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1570085</v>
      </c>
      <c r="E93" s="138">
        <f>IF(ISBLANK(D93),"-",$D$101/$D$98*D93)</f>
        <v>1311289.0024721052</v>
      </c>
      <c r="F93" s="281">
        <v>1230459</v>
      </c>
      <c r="G93" s="139">
        <f>IF(ISBLANK(F93),"-",$D$101/$F$98*F93)</f>
        <v>1299103.6361332824</v>
      </c>
      <c r="I93" s="310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82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5" t="s">
        <v>71</v>
      </c>
      <c r="D95" s="216">
        <f>AVERAGE(D91:D94)</f>
        <v>1550771.3333333333</v>
      </c>
      <c r="E95" s="148">
        <f>AVERAGE(E91:E94)</f>
        <v>1295158.793790784</v>
      </c>
      <c r="F95" s="217">
        <f>AVERAGE(F91:F94)</f>
        <v>1234505.5</v>
      </c>
      <c r="G95" s="218">
        <f>AVERAGE(G91:G94)</f>
        <v>1303375.8815828371</v>
      </c>
    </row>
    <row r="96" spans="1:12" ht="26.25" customHeight="1" x14ac:dyDescent="0.4">
      <c r="A96" s="124" t="s">
        <v>72</v>
      </c>
      <c r="B96" s="110">
        <v>1</v>
      </c>
      <c r="C96" s="219" t="s">
        <v>113</v>
      </c>
      <c r="D96" s="220">
        <f>D43</f>
        <v>33.26</v>
      </c>
      <c r="E96" s="140"/>
      <c r="F96" s="152">
        <f>F43</f>
        <v>26.31</v>
      </c>
    </row>
    <row r="97" spans="1:10" ht="26.25" customHeight="1" x14ac:dyDescent="0.4">
      <c r="A97" s="124" t="s">
        <v>74</v>
      </c>
      <c r="B97" s="110">
        <v>1</v>
      </c>
      <c r="C97" s="221" t="s">
        <v>114</v>
      </c>
      <c r="D97" s="222">
        <f>D96*$B$87</f>
        <v>33.26</v>
      </c>
      <c r="E97" s="155"/>
      <c r="F97" s="154">
        <f>F96*$B$87</f>
        <v>26.31</v>
      </c>
    </row>
    <row r="98" spans="1:10" ht="19.5" customHeight="1" x14ac:dyDescent="0.3">
      <c r="A98" s="124" t="s">
        <v>76</v>
      </c>
      <c r="B98" s="223">
        <f>(B97/B96)*(B95/B94)*(B93/B92)*(B91/B90)*B89</f>
        <v>250</v>
      </c>
      <c r="C98" s="221" t="s">
        <v>115</v>
      </c>
      <c r="D98" s="224">
        <f>D97*$B$83/100</f>
        <v>33.26</v>
      </c>
      <c r="E98" s="158"/>
      <c r="F98" s="157">
        <f>F97*$B$83/100</f>
        <v>26.31</v>
      </c>
    </row>
    <row r="99" spans="1:10" ht="19.5" customHeight="1" x14ac:dyDescent="0.3">
      <c r="A99" s="311" t="s">
        <v>78</v>
      </c>
      <c r="B99" s="325"/>
      <c r="C99" s="221" t="s">
        <v>116</v>
      </c>
      <c r="D99" s="225">
        <f>D98/$B$98</f>
        <v>0.13303999999999999</v>
      </c>
      <c r="E99" s="158"/>
      <c r="F99" s="161">
        <f>F98/$B$98</f>
        <v>0.10524</v>
      </c>
      <c r="G99" s="226"/>
      <c r="H99" s="150"/>
    </row>
    <row r="100" spans="1:10" ht="19.5" customHeight="1" x14ac:dyDescent="0.3">
      <c r="A100" s="313"/>
      <c r="B100" s="326"/>
      <c r="C100" s="221" t="s">
        <v>80</v>
      </c>
      <c r="D100" s="227">
        <f>$B$56/$B$116</f>
        <v>0.1111111111111111</v>
      </c>
      <c r="F100" s="166"/>
      <c r="G100" s="228"/>
      <c r="H100" s="150"/>
    </row>
    <row r="101" spans="1:10" ht="18.75" x14ac:dyDescent="0.3">
      <c r="C101" s="221" t="s">
        <v>81</v>
      </c>
      <c r="D101" s="222">
        <f>D100*$B$98</f>
        <v>27.777777777777775</v>
      </c>
      <c r="F101" s="166"/>
      <c r="G101" s="226"/>
      <c r="H101" s="150"/>
    </row>
    <row r="102" spans="1:10" ht="19.5" customHeight="1" x14ac:dyDescent="0.3">
      <c r="C102" s="229" t="s">
        <v>82</v>
      </c>
      <c r="D102" s="230">
        <f>D101/B34</f>
        <v>27.777777777777775</v>
      </c>
      <c r="F102" s="170"/>
      <c r="G102" s="226"/>
      <c r="H102" s="150"/>
      <c r="J102" s="231"/>
    </row>
    <row r="103" spans="1:10" ht="18.75" x14ac:dyDescent="0.3">
      <c r="C103" s="232" t="s">
        <v>117</v>
      </c>
      <c r="D103" s="233">
        <f>AVERAGE(E91:E94,G91:G94)</f>
        <v>1298445.6289076053</v>
      </c>
      <c r="F103" s="170"/>
      <c r="G103" s="234"/>
      <c r="H103" s="150"/>
      <c r="J103" s="235"/>
    </row>
    <row r="104" spans="1:10" ht="18.75" x14ac:dyDescent="0.3">
      <c r="C104" s="200" t="s">
        <v>84</v>
      </c>
      <c r="D104" s="236">
        <f>STDEV(E91:E94,G91:G94)/D103</f>
        <v>1.7066120593607237E-2</v>
      </c>
      <c r="F104" s="170"/>
      <c r="G104" s="226"/>
      <c r="H104" s="150"/>
      <c r="J104" s="235"/>
    </row>
    <row r="105" spans="1:10" ht="19.5" customHeight="1" x14ac:dyDescent="0.3">
      <c r="C105" s="202" t="s">
        <v>20</v>
      </c>
      <c r="D105" s="237">
        <f>COUNT(E91:E94,G91:G94)</f>
        <v>5</v>
      </c>
      <c r="F105" s="170"/>
      <c r="G105" s="226"/>
      <c r="H105" s="150"/>
      <c r="J105" s="235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8" t="s">
        <v>119</v>
      </c>
      <c r="D107" s="239" t="s">
        <v>63</v>
      </c>
      <c r="E107" s="240" t="s">
        <v>120</v>
      </c>
      <c r="F107" s="241" t="s">
        <v>121</v>
      </c>
    </row>
    <row r="108" spans="1:10" ht="26.25" customHeight="1" x14ac:dyDescent="0.4">
      <c r="A108" s="124" t="s">
        <v>122</v>
      </c>
      <c r="B108" s="125">
        <v>1</v>
      </c>
      <c r="C108" s="242">
        <v>1</v>
      </c>
      <c r="D108" s="243">
        <v>1310896</v>
      </c>
      <c r="E108" s="274">
        <f t="shared" ref="E108:E113" si="1">IF(ISBLANK(D108),"-",D108/$D$103*$D$100*$B$116)</f>
        <v>100.95886734224436</v>
      </c>
      <c r="F108" s="244">
        <f t="shared" ref="F108:F113" si="2">IF(ISBLANK(D108), "-", E108/$B$56)</f>
        <v>1.0095886734224435</v>
      </c>
    </row>
    <row r="109" spans="1:10" ht="26.25" customHeight="1" x14ac:dyDescent="0.4">
      <c r="A109" s="124" t="s">
        <v>95</v>
      </c>
      <c r="B109" s="125">
        <v>1</v>
      </c>
      <c r="C109" s="242">
        <v>2</v>
      </c>
      <c r="D109" s="243">
        <v>1317028</v>
      </c>
      <c r="E109" s="275">
        <f t="shared" si="1"/>
        <v>101.43112431346304</v>
      </c>
      <c r="F109" s="245">
        <f t="shared" si="2"/>
        <v>1.0143112431346304</v>
      </c>
    </row>
    <row r="110" spans="1:10" ht="26.25" customHeight="1" x14ac:dyDescent="0.4">
      <c r="A110" s="124" t="s">
        <v>96</v>
      </c>
      <c r="B110" s="125">
        <v>1</v>
      </c>
      <c r="C110" s="242">
        <v>3</v>
      </c>
      <c r="D110" s="243">
        <v>1313369</v>
      </c>
      <c r="E110" s="275">
        <f t="shared" si="1"/>
        <v>101.14932583699711</v>
      </c>
      <c r="F110" s="245">
        <f t="shared" si="2"/>
        <v>1.0114932583699712</v>
      </c>
    </row>
    <row r="111" spans="1:10" ht="26.25" customHeight="1" x14ac:dyDescent="0.4">
      <c r="A111" s="124" t="s">
        <v>97</v>
      </c>
      <c r="B111" s="125">
        <v>1</v>
      </c>
      <c r="C111" s="242">
        <v>4</v>
      </c>
      <c r="D111" s="243">
        <v>1313143</v>
      </c>
      <c r="E111" s="275">
        <f t="shared" si="1"/>
        <v>101.1319204104649</v>
      </c>
      <c r="F111" s="245">
        <f t="shared" si="2"/>
        <v>1.011319204104649</v>
      </c>
    </row>
    <row r="112" spans="1:10" ht="26.25" customHeight="1" x14ac:dyDescent="0.4">
      <c r="A112" s="124" t="s">
        <v>98</v>
      </c>
      <c r="B112" s="125">
        <v>1</v>
      </c>
      <c r="C112" s="242">
        <v>5</v>
      </c>
      <c r="D112" s="243">
        <v>1304972</v>
      </c>
      <c r="E112" s="275">
        <f t="shared" si="1"/>
        <v>100.50262952464827</v>
      </c>
      <c r="F112" s="245">
        <f t="shared" si="2"/>
        <v>1.0050262952464828</v>
      </c>
    </row>
    <row r="113" spans="1:10" ht="26.25" customHeight="1" x14ac:dyDescent="0.4">
      <c r="A113" s="124" t="s">
        <v>100</v>
      </c>
      <c r="B113" s="125">
        <v>1</v>
      </c>
      <c r="C113" s="246">
        <v>6</v>
      </c>
      <c r="D113" s="247">
        <v>1304825</v>
      </c>
      <c r="E113" s="276">
        <f t="shared" si="1"/>
        <v>100.49130829588618</v>
      </c>
      <c r="F113" s="248">
        <f t="shared" si="2"/>
        <v>1.0049130829588619</v>
      </c>
    </row>
    <row r="114" spans="1:10" ht="26.25" customHeight="1" x14ac:dyDescent="0.4">
      <c r="A114" s="124" t="s">
        <v>101</v>
      </c>
      <c r="B114" s="125">
        <v>1</v>
      </c>
      <c r="C114" s="242"/>
      <c r="D114" s="197"/>
      <c r="E114" s="98"/>
      <c r="F114" s="249"/>
    </row>
    <row r="115" spans="1:10" ht="26.25" customHeight="1" x14ac:dyDescent="0.4">
      <c r="A115" s="124" t="s">
        <v>102</v>
      </c>
      <c r="B115" s="125">
        <v>1</v>
      </c>
      <c r="C115" s="242"/>
      <c r="D115" s="250" t="s">
        <v>71</v>
      </c>
      <c r="E115" s="278">
        <f>AVERAGE(E108:E113)</f>
        <v>100.94419595395065</v>
      </c>
      <c r="F115" s="251">
        <f>AVERAGE(F108:F113)</f>
        <v>1.0094419595395066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52"/>
      <c r="D116" s="215" t="s">
        <v>84</v>
      </c>
      <c r="E116" s="253">
        <f>STDEV(E108:E113)/E115</f>
        <v>3.7454329376720085E-3</v>
      </c>
      <c r="F116" s="253">
        <f>STDEV(F108:F113)/F115</f>
        <v>3.7454329376719643E-3</v>
      </c>
      <c r="I116" s="98"/>
    </row>
    <row r="117" spans="1:10" ht="27" customHeight="1" x14ac:dyDescent="0.4">
      <c r="A117" s="311" t="s">
        <v>78</v>
      </c>
      <c r="B117" s="312"/>
      <c r="C117" s="254"/>
      <c r="D117" s="255" t="s">
        <v>20</v>
      </c>
      <c r="E117" s="256">
        <f>COUNT(E108:E113)</f>
        <v>6</v>
      </c>
      <c r="F117" s="256">
        <f>COUNT(F108:F113)</f>
        <v>6</v>
      </c>
      <c r="I117" s="98"/>
      <c r="J117" s="235"/>
    </row>
    <row r="118" spans="1:10" ht="19.5" customHeight="1" x14ac:dyDescent="0.3">
      <c r="A118" s="313"/>
      <c r="B118" s="314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5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323" t="str">
        <f>B20</f>
        <v>Ethambutol</v>
      </c>
      <c r="D120" s="323"/>
      <c r="E120" s="205" t="s">
        <v>124</v>
      </c>
      <c r="F120" s="205"/>
      <c r="G120" s="206">
        <f>F115</f>
        <v>1.0094419595395066</v>
      </c>
      <c r="H120" s="98"/>
      <c r="I120" s="98"/>
    </row>
    <row r="121" spans="1:10" ht="19.5" customHeight="1" x14ac:dyDescent="0.3">
      <c r="A121" s="257"/>
      <c r="B121" s="257"/>
      <c r="C121" s="258"/>
      <c r="D121" s="258"/>
      <c r="E121" s="258"/>
      <c r="F121" s="258"/>
      <c r="G121" s="258"/>
      <c r="H121" s="258"/>
    </row>
    <row r="122" spans="1:10" ht="18.75" x14ac:dyDescent="0.3">
      <c r="B122" s="324" t="s">
        <v>26</v>
      </c>
      <c r="C122" s="324"/>
      <c r="E122" s="211" t="s">
        <v>27</v>
      </c>
      <c r="F122" s="259"/>
      <c r="G122" s="324" t="s">
        <v>28</v>
      </c>
      <c r="H122" s="324"/>
    </row>
    <row r="123" spans="1:10" ht="69.95" customHeight="1" x14ac:dyDescent="0.3">
      <c r="A123" s="260" t="s">
        <v>29</v>
      </c>
      <c r="B123" s="261"/>
      <c r="C123" s="261"/>
      <c r="E123" s="261"/>
      <c r="F123" s="98"/>
      <c r="G123" s="262"/>
      <c r="H123" s="262"/>
    </row>
    <row r="124" spans="1:10" ht="69.95" customHeight="1" x14ac:dyDescent="0.3">
      <c r="A124" s="260" t="s">
        <v>30</v>
      </c>
      <c r="B124" s="263"/>
      <c r="C124" s="263"/>
      <c r="E124" s="263"/>
      <c r="F124" s="98"/>
      <c r="G124" s="264"/>
      <c r="H124" s="264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Ethambutol HCL</vt:lpstr>
      <vt:lpstr>'Ethambutol HCL'!Print_Area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cp:lastPrinted>2016-06-15T12:38:11Z</cp:lastPrinted>
  <dcterms:created xsi:type="dcterms:W3CDTF">2005-07-05T10:19:27Z</dcterms:created>
  <dcterms:modified xsi:type="dcterms:W3CDTF">2016-06-20T12:34:10Z</dcterms:modified>
</cp:coreProperties>
</file>