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 PYRAZINAMIDE" sheetId="4" r:id="rId1"/>
    <sheet name="Uniformity" sheetId="2" r:id="rId2"/>
    <sheet name="Pyrazinamide" sheetId="7" r:id="rId3"/>
  </sheets>
  <definedNames>
    <definedName name="_xlnm.Print_Area" localSheetId="2">Pyrazinamide!$A$1:$I$124</definedName>
    <definedName name="_xlnm.Print_Area" localSheetId="0">'SST PYRAZINAMIDE'!$A$15:$G$61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7" i="7" l="1"/>
  <c r="C120" i="7"/>
  <c r="B116" i="7"/>
  <c r="D100" i="7" s="1"/>
  <c r="B98" i="7"/>
  <c r="F97" i="7"/>
  <c r="D97" i="7"/>
  <c r="F95" i="7"/>
  <c r="D95" i="7"/>
  <c r="G94" i="7"/>
  <c r="E94" i="7"/>
  <c r="B87" i="7"/>
  <c r="B81" i="7"/>
  <c r="B83" i="7" s="1"/>
  <c r="B80" i="7"/>
  <c r="B79" i="7"/>
  <c r="C76" i="7"/>
  <c r="H71" i="7"/>
  <c r="G71" i="7"/>
  <c r="G70" i="7"/>
  <c r="H70" i="7" s="1"/>
  <c r="B68" i="7"/>
  <c r="H67" i="7"/>
  <c r="G67" i="7"/>
  <c r="G66" i="7"/>
  <c r="H66" i="7" s="1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D44" i="7" s="1"/>
  <c r="D45" i="7" s="1"/>
  <c r="D46" i="7" s="1"/>
  <c r="B30" i="7"/>
  <c r="B53" i="4"/>
  <c r="E51" i="4"/>
  <c r="D51" i="4"/>
  <c r="C51" i="4"/>
  <c r="B51" i="4"/>
  <c r="B52" i="4" s="1"/>
  <c r="B32" i="4"/>
  <c r="E30" i="4"/>
  <c r="D30" i="4"/>
  <c r="C30" i="4"/>
  <c r="B30" i="4"/>
  <c r="B31" i="4" s="1"/>
  <c r="C46" i="2"/>
  <c r="C50" i="2" s="1"/>
  <c r="C45" i="2"/>
  <c r="D40" i="2"/>
  <c r="D36" i="2"/>
  <c r="D32" i="2"/>
  <c r="D28" i="2"/>
  <c r="D24" i="2"/>
  <c r="C19" i="2"/>
  <c r="I92" i="7" l="1"/>
  <c r="D101" i="7"/>
  <c r="E93" i="7" s="1"/>
  <c r="F98" i="7"/>
  <c r="F99" i="7" s="1"/>
  <c r="D98" i="7"/>
  <c r="D99" i="7" s="1"/>
  <c r="D49" i="7"/>
  <c r="E40" i="7"/>
  <c r="G40" i="7"/>
  <c r="E39" i="7"/>
  <c r="E38" i="7"/>
  <c r="F44" i="7"/>
  <c r="F45" i="7" s="1"/>
  <c r="F46" i="7" s="1"/>
  <c r="D25" i="2"/>
  <c r="D33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D49" i="2"/>
  <c r="D29" i="2"/>
  <c r="D37" i="2"/>
  <c r="D41" i="2"/>
  <c r="D102" i="7" l="1"/>
  <c r="G92" i="7"/>
  <c r="G93" i="7"/>
  <c r="E42" i="7"/>
  <c r="D52" i="7"/>
  <c r="E91" i="7"/>
  <c r="G38" i="7"/>
  <c r="G42" i="7" s="1"/>
  <c r="G91" i="7"/>
  <c r="E92" i="7"/>
  <c r="G39" i="7"/>
  <c r="G95" i="7" l="1"/>
  <c r="D50" i="7"/>
  <c r="E95" i="7"/>
  <c r="D103" i="7"/>
  <c r="D105" i="7"/>
  <c r="E113" i="7" l="1"/>
  <c r="F113" i="7" s="1"/>
  <c r="E109" i="7"/>
  <c r="F109" i="7" s="1"/>
  <c r="E112" i="7"/>
  <c r="F112" i="7" s="1"/>
  <c r="E110" i="7"/>
  <c r="F110" i="7" s="1"/>
  <c r="E108" i="7"/>
  <c r="E111" i="7"/>
  <c r="F111" i="7" s="1"/>
  <c r="D104" i="7"/>
  <c r="G68" i="7"/>
  <c r="H68" i="7" s="1"/>
  <c r="G69" i="7"/>
  <c r="H69" i="7" s="1"/>
  <c r="G64" i="7"/>
  <c r="H64" i="7" s="1"/>
  <c r="G60" i="7"/>
  <c r="D51" i="7"/>
  <c r="G65" i="7"/>
  <c r="H65" i="7" s="1"/>
  <c r="G61" i="7"/>
  <c r="H61" i="7" s="1"/>
  <c r="G62" i="7"/>
  <c r="H62" i="7" s="1"/>
  <c r="G74" i="7" l="1"/>
  <c r="G72" i="7"/>
  <c r="G73" i="7" s="1"/>
  <c r="H60" i="7"/>
  <c r="E115" i="7"/>
  <c r="E116" i="7" s="1"/>
  <c r="E117" i="7"/>
  <c r="F108" i="7"/>
  <c r="H74" i="7" l="1"/>
  <c r="H72" i="7"/>
  <c r="F117" i="7"/>
  <c r="F115" i="7"/>
  <c r="G76" i="7" l="1"/>
  <c r="H73" i="7"/>
  <c r="G120" i="7"/>
  <c r="F116" i="7"/>
</calcChain>
</file>

<file path=xl/sharedStrings.xml><?xml version="1.0" encoding="utf-8"?>
<sst xmlns="http://schemas.openxmlformats.org/spreadsheetml/2006/main" count="231" uniqueCount="130">
  <si>
    <t>HPLC System Suitability Report</t>
  </si>
  <si>
    <t>Analysis Data</t>
  </si>
  <si>
    <t>Assay</t>
  </si>
  <si>
    <t>Sample(s)</t>
  </si>
  <si>
    <t>Reference Substance:</t>
  </si>
  <si>
    <t>PYRAZINAMIDE TABLETS</t>
  </si>
  <si>
    <t>% age Purity:</t>
  </si>
  <si>
    <t>NDQD2016061122</t>
  </si>
  <si>
    <t>Weight (mg):</t>
  </si>
  <si>
    <t>Pyrazinamide</t>
  </si>
  <si>
    <t>Standard Conc (mg/mL):</t>
  </si>
  <si>
    <t>Pyrazinamide 500mg</t>
  </si>
  <si>
    <t>2016-06-10 14:46:45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</si>
  <si>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</si>
  <si>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</si>
  <si>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</si>
  <si>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</si>
  <si>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</si>
  <si>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</si>
  <si>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</si>
  <si>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</si>
  <si>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</si>
  <si>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</si>
  <si>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</si>
  <si>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</si>
  <si>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</si>
  <si>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</si>
  <si>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</si>
  <si>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</si>
  <si>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</si>
  <si>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</si>
  <si>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</si>
  <si>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</si>
  <si>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</si>
  <si>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</si>
  <si>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</si>
  <si>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</si>
  <si>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</si>
  <si>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</si>
  <si>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</si>
  <si>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</si>
  <si>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</si>
  <si>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</si>
  <si>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</si>
  <si>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</si>
  <si>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</si>
  <si>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</si>
  <si>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</si>
  <si>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</si>
  <si>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</si>
  <si>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</si>
  <si>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</si>
  <si>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</si>
  <si>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</si>
  <si>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</si>
  <si>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</si>
  <si>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</si>
  <si>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</si>
  <si>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</si>
  <si>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</si>
  <si>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</si>
  <si>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</si>
  <si>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</si>
  <si>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</si>
  <si>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</si>
  <si>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</si>
  <si>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</si>
  <si>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</si>
  <si>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</si>
  <si>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</si>
  <si>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</si>
  <si>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</si>
  <si>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</si>
  <si>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</si>
  <si>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</si>
  <si>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</si>
  <si>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</si>
  <si>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</si>
  <si>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</si>
  <si>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</si>
  <si>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</si>
  <si>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</si>
  <si>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</si>
  <si>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</si>
  <si>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</si>
  <si>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</si>
  <si>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</si>
  <si>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</si>
  <si>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</si>
  <si>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</si>
  <si>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</si>
  <si>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</si>
  <si>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</si>
  <si>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</si>
  <si>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</si>
  <si>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</si>
  <si>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</si>
  <si>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</si>
  <si>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</si>
  <si>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</si>
  <si>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</si>
  <si>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</si>
  <si>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</si>
  <si>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</si>
  <si>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</si>
  <si>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</si>
  <si>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</si>
  <si>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</si>
  <si>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</si>
  <si>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</si>
  <si>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</si>
  <si>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</si>
  <si>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</si>
  <si>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</si>
  <si>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</si>
  <si>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</si>
  <si>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</si>
  <si>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</si>
  <si>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</si>
  <si>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</si>
  <si>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</si>
  <si>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</si>
  <si>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</si>
  <si>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</si>
  <si>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</si>
  <si>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PYRAZINAMIDE 150MG.</t>
  </si>
  <si>
    <t>RIFAMPICIN 60MG, ISONIAZID 30MG, PYRAZINAMIDE 150MG.</t>
  </si>
  <si>
    <t xml:space="preserve">Rifampicin, Isoniazid, Pyrazinamide 
</t>
  </si>
  <si>
    <t xml:space="preserve">Rifampicin 60mg, Isoniazid 30mg, Pyrazinamide 150mg 
</t>
  </si>
  <si>
    <t>P19-1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</si>
</sst>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0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8" fontId="14" fillId="3" borderId="0" xfId="1" applyNumberFormat="1" applyFont="1" applyFill="1" applyAlignment="1" applyProtection="1">
      <alignment horizontal="center"/>
      <protection locked="0"/>
    </xf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59" t="s">
        <v>0</v>
      </c>
      <c r="B15" s="259"/>
      <c r="C15" s="259"/>
      <c r="D15" s="259"/>
      <c r="E15" s="25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7</v>
      </c>
      <c r="D17" s="54"/>
      <c r="E17" s="55"/>
    </row>
    <row r="18" spans="1:5" ht="16.5" customHeight="1" x14ac:dyDescent="0.3">
      <c r="A18" s="56" t="s">
        <v>4</v>
      </c>
      <c r="B18" s="53" t="s">
        <v>125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40</v>
      </c>
      <c r="C20" s="55"/>
      <c r="D20" s="55"/>
      <c r="E20" s="55"/>
    </row>
    <row r="21" spans="1:5" ht="16.5" customHeight="1" x14ac:dyDescent="0.3">
      <c r="A21" s="53" t="s">
        <v>10</v>
      </c>
      <c r="B21" s="58">
        <v>0.4</v>
      </c>
      <c r="C21" s="55"/>
      <c r="D21" s="55"/>
      <c r="E21" s="55"/>
    </row>
    <row r="22" spans="1:5" ht="15.75" customHeight="1" x14ac:dyDescent="0.25">
      <c r="A22" s="55"/>
      <c r="B22" s="59">
        <v>42531.66033564815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21689687</v>
      </c>
      <c r="C24" s="63">
        <v>12644.9</v>
      </c>
      <c r="D24" s="64">
        <v>1.2</v>
      </c>
      <c r="E24" s="65">
        <v>5.7</v>
      </c>
    </row>
    <row r="25" spans="1:5" ht="16.5" customHeight="1" x14ac:dyDescent="0.3">
      <c r="A25" s="62">
        <v>2</v>
      </c>
      <c r="B25" s="63">
        <v>21668472</v>
      </c>
      <c r="C25" s="63">
        <v>12367.1</v>
      </c>
      <c r="D25" s="64">
        <v>1.2</v>
      </c>
      <c r="E25" s="64">
        <v>5.7</v>
      </c>
    </row>
    <row r="26" spans="1:5" ht="16.5" customHeight="1" x14ac:dyDescent="0.3">
      <c r="A26" s="62">
        <v>3</v>
      </c>
      <c r="B26" s="63">
        <v>21674990</v>
      </c>
      <c r="C26" s="63">
        <v>12242.6</v>
      </c>
      <c r="D26" s="64">
        <v>1.2</v>
      </c>
      <c r="E26" s="64">
        <v>5.7</v>
      </c>
    </row>
    <row r="27" spans="1:5" ht="16.5" customHeight="1" x14ac:dyDescent="0.3">
      <c r="A27" s="62">
        <v>4</v>
      </c>
      <c r="B27" s="63">
        <v>21674317</v>
      </c>
      <c r="C27" s="63">
        <v>12234.7</v>
      </c>
      <c r="D27" s="64">
        <v>1.2</v>
      </c>
      <c r="E27" s="64">
        <v>5.7</v>
      </c>
    </row>
    <row r="28" spans="1:5" ht="16.5" customHeight="1" x14ac:dyDescent="0.3">
      <c r="A28" s="62">
        <v>5</v>
      </c>
      <c r="B28" s="63">
        <v>21665103</v>
      </c>
      <c r="C28" s="63">
        <v>12232.5</v>
      </c>
      <c r="D28" s="64">
        <v>1.2</v>
      </c>
      <c r="E28" s="64">
        <v>5.7</v>
      </c>
    </row>
    <row r="29" spans="1:5" ht="16.5" customHeight="1" x14ac:dyDescent="0.3">
      <c r="A29" s="62">
        <v>6</v>
      </c>
      <c r="B29" s="66">
        <v>21653799</v>
      </c>
      <c r="C29" s="66">
        <v>12236.6</v>
      </c>
      <c r="D29" s="67">
        <v>1.2</v>
      </c>
      <c r="E29" s="67">
        <v>5.7</v>
      </c>
    </row>
    <row r="30" spans="1:5" ht="16.5" customHeight="1" x14ac:dyDescent="0.3">
      <c r="A30" s="68" t="s">
        <v>18</v>
      </c>
      <c r="B30" s="69">
        <f>AVERAGE(B24:B29)</f>
        <v>21671061.333333332</v>
      </c>
      <c r="C30" s="70">
        <f>AVERAGE(C24:C29)</f>
        <v>12326.400000000001</v>
      </c>
      <c r="D30" s="71">
        <f>AVERAGE(D24:D29)</f>
        <v>1.2</v>
      </c>
      <c r="E30" s="71">
        <f>AVERAGE(E24:E29)</f>
        <v>5.7</v>
      </c>
    </row>
    <row r="31" spans="1:5" ht="16.5" customHeight="1" x14ac:dyDescent="0.3">
      <c r="A31" s="72" t="s">
        <v>19</v>
      </c>
      <c r="B31" s="73">
        <f>(STDEV(B24:B29)/B30)</f>
        <v>5.5109106063154533E-4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21689687</v>
      </c>
      <c r="C45" s="63">
        <v>12644.9</v>
      </c>
      <c r="D45" s="64">
        <v>1.2</v>
      </c>
      <c r="E45" s="65">
        <v>5.7</v>
      </c>
    </row>
    <row r="46" spans="1:5" ht="16.5" customHeight="1" x14ac:dyDescent="0.3">
      <c r="A46" s="62">
        <v>2</v>
      </c>
      <c r="B46" s="63">
        <v>21668472</v>
      </c>
      <c r="C46" s="63">
        <v>12367.1</v>
      </c>
      <c r="D46" s="64">
        <v>1.2</v>
      </c>
      <c r="E46" s="64">
        <v>5.7</v>
      </c>
    </row>
    <row r="47" spans="1:5" ht="16.5" customHeight="1" x14ac:dyDescent="0.3">
      <c r="A47" s="62">
        <v>3</v>
      </c>
      <c r="B47" s="63">
        <v>21674990</v>
      </c>
      <c r="C47" s="63">
        <v>12242.6</v>
      </c>
      <c r="D47" s="64">
        <v>1.2</v>
      </c>
      <c r="E47" s="64">
        <v>5.7</v>
      </c>
    </row>
    <row r="48" spans="1:5" ht="16.5" customHeight="1" x14ac:dyDescent="0.3">
      <c r="A48" s="62">
        <v>4</v>
      </c>
      <c r="B48" s="63">
        <v>21674317</v>
      </c>
      <c r="C48" s="63">
        <v>12234.7</v>
      </c>
      <c r="D48" s="64">
        <v>1.2</v>
      </c>
      <c r="E48" s="64">
        <v>5.7</v>
      </c>
    </row>
    <row r="49" spans="1:7" ht="16.5" customHeight="1" x14ac:dyDescent="0.3">
      <c r="A49" s="62">
        <v>5</v>
      </c>
      <c r="B49" s="63">
        <v>21665103</v>
      </c>
      <c r="C49" s="63">
        <v>12232.5</v>
      </c>
      <c r="D49" s="64">
        <v>1.2</v>
      </c>
      <c r="E49" s="64">
        <v>5.7</v>
      </c>
    </row>
    <row r="50" spans="1:7" ht="16.5" customHeight="1" x14ac:dyDescent="0.3">
      <c r="A50" s="62">
        <v>6</v>
      </c>
      <c r="B50" s="66">
        <v>21653799</v>
      </c>
      <c r="C50" s="66">
        <v>12236.6</v>
      </c>
      <c r="D50" s="67">
        <v>1.2</v>
      </c>
      <c r="E50" s="67">
        <v>5.7</v>
      </c>
    </row>
    <row r="51" spans="1:7" ht="16.5" customHeight="1" x14ac:dyDescent="0.3">
      <c r="A51" s="68" t="s">
        <v>18</v>
      </c>
      <c r="B51" s="69">
        <f>AVERAGE(B45:B50)</f>
        <v>21671061.333333332</v>
      </c>
      <c r="C51" s="70">
        <f>AVERAGE(C45:C50)</f>
        <v>12326.400000000001</v>
      </c>
      <c r="D51" s="71">
        <f>AVERAGE(D45:D50)</f>
        <v>1.2</v>
      </c>
      <c r="E51" s="71">
        <f>AVERAGE(E45:E50)</f>
        <v>5.7</v>
      </c>
    </row>
    <row r="52" spans="1:7" ht="16.5" customHeight="1" x14ac:dyDescent="0.3">
      <c r="A52" s="72" t="s">
        <v>19</v>
      </c>
      <c r="B52" s="73">
        <f>(STDEV(B45:B50)/B51)</f>
        <v>5.5109106063154533E-4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260" t="s">
        <v>26</v>
      </c>
      <c r="C59" s="260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4" t="s">
        <v>31</v>
      </c>
      <c r="B11" s="265"/>
      <c r="C11" s="265"/>
      <c r="D11" s="265"/>
      <c r="E11" s="265"/>
      <c r="F11" s="266"/>
      <c r="G11" s="41"/>
    </row>
    <row r="12" spans="1:7" ht="16.5" customHeight="1" x14ac:dyDescent="0.3">
      <c r="A12" s="263" t="s">
        <v>32</v>
      </c>
      <c r="B12" s="263"/>
      <c r="C12" s="263"/>
      <c r="D12" s="263"/>
      <c r="E12" s="263"/>
      <c r="F12" s="263"/>
      <c r="G12" s="40"/>
    </row>
    <row r="14" spans="1:7" ht="16.5" customHeight="1" x14ac:dyDescent="0.3">
      <c r="A14" s="268" t="s">
        <v>33</v>
      </c>
      <c r="B14" s="268"/>
      <c r="C14" s="10" t="s">
        <v>5</v>
      </c>
    </row>
    <row r="15" spans="1:7" ht="16.5" customHeight="1" x14ac:dyDescent="0.3">
      <c r="A15" s="268" t="s">
        <v>34</v>
      </c>
      <c r="B15" s="268"/>
      <c r="C15" s="10" t="s">
        <v>7</v>
      </c>
    </row>
    <row r="16" spans="1:7" ht="16.5" customHeight="1" x14ac:dyDescent="0.3">
      <c r="A16" s="268" t="s">
        <v>35</v>
      </c>
      <c r="B16" s="268"/>
      <c r="C16" s="10" t="s">
        <v>9</v>
      </c>
    </row>
    <row r="17" spans="1:5" ht="16.5" customHeight="1" x14ac:dyDescent="0.3">
      <c r="A17" s="268" t="s">
        <v>36</v>
      </c>
      <c r="B17" s="268"/>
      <c r="C17" s="10" t="s">
        <v>11</v>
      </c>
    </row>
    <row r="18" spans="1:5" ht="16.5" customHeight="1" x14ac:dyDescent="0.3">
      <c r="A18" s="268" t="s">
        <v>37</v>
      </c>
      <c r="B18" s="268"/>
      <c r="C18" s="47" t="s">
        <v>12</v>
      </c>
    </row>
    <row r="19" spans="1:5" ht="16.5" customHeight="1" x14ac:dyDescent="0.3">
      <c r="A19" s="268" t="s">
        <v>38</v>
      </c>
      <c r="B19" s="26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63" t="s">
        <v>1</v>
      </c>
      <c r="B21" s="263"/>
      <c r="C21" s="9" t="s">
        <v>39</v>
      </c>
      <c r="D21" s="16"/>
    </row>
    <row r="22" spans="1:5" ht="15.75" customHeight="1" x14ac:dyDescent="0.3">
      <c r="A22" s="267"/>
      <c r="B22" s="267"/>
      <c r="C22" s="7"/>
      <c r="D22" s="267"/>
      <c r="E22" s="267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570.59</v>
      </c>
      <c r="D24" s="37">
        <f t="shared" ref="D24:D43" si="0">(C24-$C$46)/$C$46</f>
        <v>1.0491375317551543E-3</v>
      </c>
      <c r="E24" s="3"/>
    </row>
    <row r="25" spans="1:5" ht="15.75" customHeight="1" x14ac:dyDescent="0.3">
      <c r="C25" s="45">
        <v>558.16</v>
      </c>
      <c r="D25" s="38">
        <f t="shared" si="0"/>
        <v>-2.0758186079804425E-2</v>
      </c>
      <c r="E25" s="3"/>
    </row>
    <row r="26" spans="1:5" ht="15.75" customHeight="1" x14ac:dyDescent="0.3">
      <c r="C26" s="45">
        <v>562.07000000000005</v>
      </c>
      <c r="D26" s="38">
        <f t="shared" si="0"/>
        <v>-1.389844067986884E-2</v>
      </c>
      <c r="E26" s="3"/>
    </row>
    <row r="27" spans="1:5" ht="15.75" customHeight="1" x14ac:dyDescent="0.3">
      <c r="C27" s="45">
        <v>571.19000000000005</v>
      </c>
      <c r="D27" s="38">
        <f t="shared" si="0"/>
        <v>2.1017838846864637E-3</v>
      </c>
      <c r="E27" s="3"/>
    </row>
    <row r="28" spans="1:5" ht="15.75" customHeight="1" x14ac:dyDescent="0.3">
      <c r="C28" s="45">
        <v>560.26</v>
      </c>
      <c r="D28" s="38">
        <f t="shared" si="0"/>
        <v>-1.7073923844544942E-2</v>
      </c>
      <c r="E28" s="3"/>
    </row>
    <row r="29" spans="1:5" ht="15.75" customHeight="1" x14ac:dyDescent="0.3">
      <c r="C29" s="45">
        <v>579.45000000000005</v>
      </c>
      <c r="D29" s="38">
        <f t="shared" si="0"/>
        <v>1.6593215343373591E-2</v>
      </c>
      <c r="E29" s="3"/>
    </row>
    <row r="30" spans="1:5" ht="15.75" customHeight="1" x14ac:dyDescent="0.3">
      <c r="C30" s="45">
        <v>568.82000000000005</v>
      </c>
      <c r="D30" s="38">
        <f t="shared" si="0"/>
        <v>-2.0561692093920589E-3</v>
      </c>
      <c r="E30" s="3"/>
    </row>
    <row r="31" spans="1:5" ht="15.75" customHeight="1" x14ac:dyDescent="0.3">
      <c r="C31" s="45">
        <v>569.41999999999996</v>
      </c>
      <c r="D31" s="38">
        <f t="shared" si="0"/>
        <v>-1.003522856460949E-3</v>
      </c>
      <c r="E31" s="3"/>
    </row>
    <row r="32" spans="1:5" ht="15.75" customHeight="1" x14ac:dyDescent="0.3">
      <c r="C32" s="45">
        <v>566.15</v>
      </c>
      <c r="D32" s="38">
        <f t="shared" si="0"/>
        <v>-6.7404454799363358E-3</v>
      </c>
      <c r="E32" s="3"/>
    </row>
    <row r="33" spans="1:7" ht="15.75" customHeight="1" x14ac:dyDescent="0.3">
      <c r="C33" s="45">
        <v>573.62</v>
      </c>
      <c r="D33" s="38">
        <f t="shared" si="0"/>
        <v>6.3650016140580174E-3</v>
      </c>
      <c r="E33" s="3"/>
    </row>
    <row r="34" spans="1:7" ht="15.75" customHeight="1" x14ac:dyDescent="0.3">
      <c r="C34" s="45">
        <v>570.05999999999995</v>
      </c>
      <c r="D34" s="38">
        <f t="shared" si="0"/>
        <v>1.1929991999904794E-4</v>
      </c>
      <c r="E34" s="3"/>
    </row>
    <row r="35" spans="1:7" ht="15.75" customHeight="1" x14ac:dyDescent="0.3">
      <c r="C35" s="45">
        <v>579.73</v>
      </c>
      <c r="D35" s="38">
        <f t="shared" si="0"/>
        <v>1.7084450308074803E-2</v>
      </c>
      <c r="E35" s="3"/>
    </row>
    <row r="36" spans="1:7" ht="15.75" customHeight="1" x14ac:dyDescent="0.3">
      <c r="C36" s="45">
        <v>574.88</v>
      </c>
      <c r="D36" s="38">
        <f t="shared" si="0"/>
        <v>8.5755589552136673E-3</v>
      </c>
      <c r="E36" s="3"/>
    </row>
    <row r="37" spans="1:7" ht="15.75" customHeight="1" x14ac:dyDescent="0.3">
      <c r="C37" s="45">
        <v>562.91999999999996</v>
      </c>
      <c r="D37" s="38">
        <f t="shared" si="0"/>
        <v>-1.2407191679883035E-2</v>
      </c>
      <c r="E37" s="3"/>
    </row>
    <row r="38" spans="1:7" ht="15.75" customHeight="1" x14ac:dyDescent="0.3">
      <c r="C38" s="45">
        <v>583.63</v>
      </c>
      <c r="D38" s="38">
        <f t="shared" si="0"/>
        <v>2.3926651602128014E-2</v>
      </c>
      <c r="E38" s="3"/>
    </row>
    <row r="39" spans="1:7" ht="15.75" customHeight="1" x14ac:dyDescent="0.3">
      <c r="C39" s="45">
        <v>571.23</v>
      </c>
      <c r="D39" s="38">
        <f t="shared" si="0"/>
        <v>2.171960308215151E-3</v>
      </c>
      <c r="E39" s="3"/>
    </row>
    <row r="40" spans="1:7" ht="15.75" customHeight="1" x14ac:dyDescent="0.3">
      <c r="C40" s="45">
        <v>577.25</v>
      </c>
      <c r="D40" s="38">
        <f t="shared" si="0"/>
        <v>1.2733512049292189E-2</v>
      </c>
      <c r="E40" s="3"/>
    </row>
    <row r="41" spans="1:7" ht="15.75" customHeight="1" x14ac:dyDescent="0.3">
      <c r="C41" s="45">
        <v>579.54999999999995</v>
      </c>
      <c r="D41" s="38">
        <f t="shared" si="0"/>
        <v>1.6768656402195308E-2</v>
      </c>
      <c r="E41" s="3"/>
    </row>
    <row r="42" spans="1:7" ht="15.75" customHeight="1" x14ac:dyDescent="0.3">
      <c r="C42" s="45">
        <v>562.54999999999995</v>
      </c>
      <c r="D42" s="38">
        <f t="shared" si="0"/>
        <v>-1.3056323597523992E-2</v>
      </c>
      <c r="E42" s="3"/>
    </row>
    <row r="43" spans="1:7" ht="16.5" customHeight="1" x14ac:dyDescent="0.3">
      <c r="C43" s="46">
        <v>558.30999999999995</v>
      </c>
      <c r="D43" s="39">
        <f t="shared" si="0"/>
        <v>-2.0495024491571645E-2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11399.839999999997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569.99199999999985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61">
        <f>C46</f>
        <v>569.99199999999985</v>
      </c>
      <c r="C49" s="43">
        <f>-IF(C46&lt;=80,10%,IF(C46&lt;250,7.5%,5%))</f>
        <v>-0.05</v>
      </c>
      <c r="D49" s="31">
        <f>IF(C46&lt;=80,C46*0.9,IF(C46&lt;250,C46*0.925,C46*0.95))</f>
        <v>541.49239999999986</v>
      </c>
    </row>
    <row r="50" spans="1:6" ht="17.25" customHeight="1" x14ac:dyDescent="0.3">
      <c r="B50" s="262"/>
      <c r="C50" s="44">
        <f>IF(C46&lt;=80, 10%, IF(C46&lt;250, 7.5%, 5%))</f>
        <v>0.05</v>
      </c>
      <c r="D50" s="31">
        <f>IF(C46&lt;=80, C46*1.1, IF(C46&lt;250, C46*1.075, C46*1.05))</f>
        <v>598.49159999999983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94" customWidth="1"/>
    <col min="2" max="2" width="33.7109375" style="94" customWidth="1"/>
    <col min="3" max="3" width="42.28515625" style="94" customWidth="1"/>
    <col min="4" max="4" width="30.5703125" style="94" customWidth="1"/>
    <col min="5" max="5" width="39.85546875" style="94" customWidth="1"/>
    <col min="6" max="6" width="30.7109375" style="94" customWidth="1"/>
    <col min="7" max="7" width="39.85546875" style="94" customWidth="1"/>
    <col min="8" max="8" width="30" style="94" customWidth="1"/>
    <col min="9" max="9" width="30.28515625" style="94" hidden="1" customWidth="1"/>
    <col min="10" max="10" width="30.42578125" style="94" customWidth="1"/>
    <col min="11" max="11" width="21.28515625" style="94" customWidth="1"/>
    <col min="12" max="12" width="9.140625" style="94"/>
    <col min="13" max="16384" width="9.140625" style="96"/>
  </cols>
  <sheetData>
    <row r="1" spans="1:9" ht="18.75" customHeight="1" x14ac:dyDescent="0.25">
      <c r="A1" s="299" t="s">
        <v>45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 x14ac:dyDescent="0.25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 x14ac:dyDescent="0.25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 x14ac:dyDescent="0.25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 x14ac:dyDescent="0.25">
      <c r="A7" s="299"/>
      <c r="B7" s="299"/>
      <c r="C7" s="299"/>
      <c r="D7" s="299"/>
      <c r="E7" s="299"/>
      <c r="F7" s="299"/>
      <c r="G7" s="299"/>
      <c r="H7" s="299"/>
      <c r="I7" s="299"/>
    </row>
    <row r="8" spans="1:9" x14ac:dyDescent="0.25">
      <c r="A8" s="300" t="s">
        <v>46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300"/>
      <c r="B9" s="300"/>
      <c r="C9" s="300"/>
      <c r="D9" s="300"/>
      <c r="E9" s="300"/>
      <c r="F9" s="300"/>
      <c r="G9" s="300"/>
      <c r="H9" s="300"/>
      <c r="I9" s="300"/>
    </row>
    <row r="10" spans="1:9" x14ac:dyDescent="0.25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 x14ac:dyDescent="0.25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 x14ac:dyDescent="0.25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 x14ac:dyDescent="0.25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 x14ac:dyDescent="0.25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 thickBot="1" x14ac:dyDescent="0.35">
      <c r="A15" s="95"/>
    </row>
    <row r="16" spans="1:9" ht="19.5" customHeight="1" thickBot="1" x14ac:dyDescent="0.35">
      <c r="A16" s="301" t="s">
        <v>31</v>
      </c>
      <c r="B16" s="302"/>
      <c r="C16" s="302"/>
      <c r="D16" s="302"/>
      <c r="E16" s="302"/>
      <c r="F16" s="302"/>
      <c r="G16" s="302"/>
      <c r="H16" s="303"/>
    </row>
    <row r="17" spans="1:14" ht="20.25" customHeight="1" x14ac:dyDescent="0.25">
      <c r="A17" s="304" t="s">
        <v>47</v>
      </c>
      <c r="B17" s="304"/>
      <c r="C17" s="304"/>
      <c r="D17" s="304"/>
      <c r="E17" s="304"/>
      <c r="F17" s="304"/>
      <c r="G17" s="304"/>
      <c r="H17" s="304"/>
    </row>
    <row r="18" spans="1:14" ht="26.25" customHeight="1" x14ac:dyDescent="0.4">
      <c r="A18" s="97" t="s">
        <v>33</v>
      </c>
      <c r="B18" s="305" t="s">
        <v>126</v>
      </c>
      <c r="C18" s="305"/>
      <c r="D18" s="98"/>
      <c r="E18" s="99"/>
      <c r="F18" s="100"/>
      <c r="G18" s="100"/>
      <c r="H18" s="100"/>
    </row>
    <row r="19" spans="1:14" ht="26.25" customHeight="1" x14ac:dyDescent="0.4">
      <c r="A19" s="97" t="s">
        <v>34</v>
      </c>
      <c r="B19" s="101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 x14ac:dyDescent="0.4">
      <c r="A20" s="97" t="s">
        <v>35</v>
      </c>
      <c r="B20" s="306" t="s">
        <v>127</v>
      </c>
      <c r="C20" s="306"/>
      <c r="D20" s="100"/>
      <c r="E20" s="100"/>
      <c r="F20" s="100"/>
      <c r="G20" s="100"/>
      <c r="H20" s="100"/>
    </row>
    <row r="21" spans="1:14" ht="26.25" customHeight="1" x14ac:dyDescent="0.4">
      <c r="A21" s="97" t="s">
        <v>36</v>
      </c>
      <c r="B21" s="306" t="s">
        <v>128</v>
      </c>
      <c r="C21" s="306"/>
      <c r="D21" s="306"/>
      <c r="E21" s="306"/>
      <c r="F21" s="306"/>
      <c r="G21" s="306"/>
      <c r="H21" s="306"/>
      <c r="I21" s="102"/>
    </row>
    <row r="22" spans="1:14" ht="26.25" customHeight="1" x14ac:dyDescent="0.4">
      <c r="A22" s="97" t="s">
        <v>37</v>
      </c>
      <c r="B22" s="93">
        <v>42531.493668981479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7" t="s">
        <v>38</v>
      </c>
      <c r="B23" s="93">
        <v>42535.41033564815</v>
      </c>
      <c r="C23" s="100"/>
      <c r="D23" s="100"/>
      <c r="E23" s="100"/>
      <c r="F23" s="100"/>
      <c r="G23" s="100"/>
      <c r="H23" s="100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305" t="s">
        <v>9</v>
      </c>
      <c r="C26" s="305"/>
    </row>
    <row r="27" spans="1:14" ht="26.25" customHeight="1" x14ac:dyDescent="0.4">
      <c r="A27" s="106" t="s">
        <v>48</v>
      </c>
      <c r="B27" s="307" t="s">
        <v>129</v>
      </c>
      <c r="C27" s="307"/>
    </row>
    <row r="28" spans="1:14" ht="27" customHeight="1" thickBot="1" x14ac:dyDescent="0.45">
      <c r="A28" s="106" t="s">
        <v>6</v>
      </c>
      <c r="B28" s="107">
        <v>99.5</v>
      </c>
    </row>
    <row r="29" spans="1:14" s="109" customFormat="1" ht="27" customHeight="1" thickBot="1" x14ac:dyDescent="0.45">
      <c r="A29" s="106" t="s">
        <v>49</v>
      </c>
      <c r="B29" s="108">
        <v>0</v>
      </c>
      <c r="C29" s="288" t="s">
        <v>50</v>
      </c>
      <c r="D29" s="289"/>
      <c r="E29" s="289"/>
      <c r="F29" s="289"/>
      <c r="G29" s="290"/>
      <c r="I29" s="110"/>
      <c r="J29" s="110"/>
      <c r="K29" s="110"/>
      <c r="L29" s="110"/>
    </row>
    <row r="30" spans="1:14" s="109" customFormat="1" ht="19.5" customHeight="1" thickBot="1" x14ac:dyDescent="0.35">
      <c r="A30" s="106" t="s">
        <v>51</v>
      </c>
      <c r="B30" s="111">
        <f>B28-B29</f>
        <v>99.5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09" customFormat="1" ht="27" customHeight="1" thickBot="1" x14ac:dyDescent="0.45">
      <c r="A31" s="106" t="s">
        <v>52</v>
      </c>
      <c r="B31" s="114">
        <v>1</v>
      </c>
      <c r="C31" s="291" t="s">
        <v>53</v>
      </c>
      <c r="D31" s="292"/>
      <c r="E31" s="292"/>
      <c r="F31" s="292"/>
      <c r="G31" s="292"/>
      <c r="H31" s="293"/>
      <c r="I31" s="110"/>
      <c r="J31" s="110"/>
      <c r="K31" s="110"/>
      <c r="L31" s="110"/>
    </row>
    <row r="32" spans="1:14" s="109" customFormat="1" ht="27" customHeight="1" thickBot="1" x14ac:dyDescent="0.45">
      <c r="A32" s="106" t="s">
        <v>54</v>
      </c>
      <c r="B32" s="114">
        <v>1</v>
      </c>
      <c r="C32" s="291" t="s">
        <v>55</v>
      </c>
      <c r="D32" s="292"/>
      <c r="E32" s="292"/>
      <c r="F32" s="292"/>
      <c r="G32" s="292"/>
      <c r="H32" s="293"/>
      <c r="I32" s="110"/>
      <c r="J32" s="110"/>
      <c r="K32" s="110"/>
      <c r="L32" s="115"/>
      <c r="M32" s="115"/>
      <c r="N32" s="116"/>
    </row>
    <row r="33" spans="1:14" s="109" customFormat="1" ht="17.25" customHeight="1" x14ac:dyDescent="0.3">
      <c r="A33" s="106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09" customFormat="1" ht="18.75" x14ac:dyDescent="0.3">
      <c r="A34" s="106" t="s">
        <v>56</v>
      </c>
      <c r="B34" s="119">
        <f>B31/B32</f>
        <v>1</v>
      </c>
      <c r="C34" s="95" t="s">
        <v>57</v>
      </c>
      <c r="D34" s="95"/>
      <c r="E34" s="95"/>
      <c r="F34" s="95"/>
      <c r="G34" s="95"/>
      <c r="I34" s="110"/>
      <c r="J34" s="110"/>
      <c r="K34" s="110"/>
      <c r="L34" s="115"/>
      <c r="M34" s="115"/>
      <c r="N34" s="116"/>
    </row>
    <row r="35" spans="1:14" s="109" customFormat="1" ht="19.5" customHeight="1" thickBot="1" x14ac:dyDescent="0.35">
      <c r="A35" s="106"/>
      <c r="B35" s="111"/>
      <c r="G35" s="95"/>
      <c r="I35" s="110"/>
      <c r="J35" s="110"/>
      <c r="K35" s="110"/>
      <c r="L35" s="115"/>
      <c r="M35" s="115"/>
      <c r="N35" s="116"/>
    </row>
    <row r="36" spans="1:14" s="109" customFormat="1" ht="27" customHeight="1" thickBot="1" x14ac:dyDescent="0.45">
      <c r="A36" s="120" t="s">
        <v>58</v>
      </c>
      <c r="B36" s="121">
        <v>100</v>
      </c>
      <c r="C36" s="95"/>
      <c r="D36" s="278" t="s">
        <v>59</v>
      </c>
      <c r="E36" s="298"/>
      <c r="F36" s="278" t="s">
        <v>60</v>
      </c>
      <c r="G36" s="279"/>
      <c r="J36" s="110"/>
      <c r="K36" s="110"/>
      <c r="L36" s="115"/>
      <c r="M36" s="115"/>
      <c r="N36" s="116"/>
    </row>
    <row r="37" spans="1:14" s="109" customFormat="1" ht="27" customHeight="1" thickBot="1" x14ac:dyDescent="0.45">
      <c r="A37" s="122" t="s">
        <v>61</v>
      </c>
      <c r="B37" s="123">
        <v>1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09" customFormat="1" ht="26.25" customHeight="1" x14ac:dyDescent="0.4">
      <c r="A38" s="122" t="s">
        <v>66</v>
      </c>
      <c r="B38" s="123">
        <v>1</v>
      </c>
      <c r="C38" s="129">
        <v>1</v>
      </c>
      <c r="D38" s="130">
        <v>21674317</v>
      </c>
      <c r="E38" s="131">
        <f>IF(ISBLANK(D38),"-",$D$48/$D$45*D38)</f>
        <v>20146342.812327534</v>
      </c>
      <c r="F38" s="130">
        <v>20681768</v>
      </c>
      <c r="G38" s="132">
        <f>IF(ISBLANK(F38),"-",$D$48/$F$45*F38)</f>
        <v>20126551.907443289</v>
      </c>
      <c r="I38" s="133"/>
      <c r="J38" s="110"/>
      <c r="K38" s="110"/>
      <c r="L38" s="115"/>
      <c r="M38" s="115"/>
      <c r="N38" s="116"/>
    </row>
    <row r="39" spans="1:14" s="109" customFormat="1" ht="26.25" customHeight="1" x14ac:dyDescent="0.4">
      <c r="A39" s="122" t="s">
        <v>67</v>
      </c>
      <c r="B39" s="123">
        <v>1</v>
      </c>
      <c r="C39" s="134">
        <v>2</v>
      </c>
      <c r="D39" s="135">
        <v>21665103</v>
      </c>
      <c r="E39" s="136">
        <f>IF(ISBLANK(D39),"-",$D$48/$D$45*D39)</f>
        <v>20137778.371626921</v>
      </c>
      <c r="F39" s="135">
        <v>20681755</v>
      </c>
      <c r="G39" s="137">
        <f>IF(ISBLANK(F39),"-",$D$48/$F$45*F39)</f>
        <v>20126539.256437108</v>
      </c>
      <c r="I39" s="269">
        <f>ABS((F43/D43*D42)-F42)/D42</f>
        <v>6.2513027198285713E-4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21653799</v>
      </c>
      <c r="E40" s="136">
        <f>IF(ISBLANK(D40),"-",$D$48/$D$45*D40)</f>
        <v>20127271.269643012</v>
      </c>
      <c r="F40" s="135">
        <v>20673764</v>
      </c>
      <c r="G40" s="137">
        <f>IF(ISBLANK(F40),"-",$D$48/$F$45*F40)</f>
        <v>20118762.780253235</v>
      </c>
      <c r="I40" s="269"/>
      <c r="L40" s="115"/>
      <c r="M40" s="115"/>
      <c r="N40" s="95"/>
    </row>
    <row r="41" spans="1:14" ht="27" customHeight="1" thickBot="1" x14ac:dyDescent="0.45">
      <c r="A41" s="122" t="s">
        <v>69</v>
      </c>
      <c r="B41" s="123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5"/>
      <c r="M41" s="115"/>
      <c r="N41" s="95"/>
    </row>
    <row r="42" spans="1:14" ht="27" customHeight="1" thickBot="1" x14ac:dyDescent="0.45">
      <c r="A42" s="122" t="s">
        <v>70</v>
      </c>
      <c r="B42" s="123">
        <v>1</v>
      </c>
      <c r="C42" s="143" t="s">
        <v>71</v>
      </c>
      <c r="D42" s="144">
        <f>AVERAGE(D38:D41)</f>
        <v>21664406.333333332</v>
      </c>
      <c r="E42" s="145">
        <f>AVERAGE(E38:E41)</f>
        <v>20137130.817865822</v>
      </c>
      <c r="F42" s="144">
        <f>AVERAGE(F38:F41)</f>
        <v>20679095.666666668</v>
      </c>
      <c r="G42" s="146">
        <f>AVERAGE(G38:G41)</f>
        <v>20123951.314711209</v>
      </c>
      <c r="H42" s="147"/>
    </row>
    <row r="43" spans="1:14" ht="26.25" customHeight="1" x14ac:dyDescent="0.4">
      <c r="A43" s="122" t="s">
        <v>72</v>
      </c>
      <c r="B43" s="123">
        <v>1</v>
      </c>
      <c r="C43" s="148" t="s">
        <v>73</v>
      </c>
      <c r="D43" s="149">
        <v>43.25</v>
      </c>
      <c r="E43" s="95"/>
      <c r="F43" s="149">
        <v>41.31</v>
      </c>
      <c r="H43" s="147"/>
    </row>
    <row r="44" spans="1:14" ht="26.25" customHeight="1" x14ac:dyDescent="0.4">
      <c r="A44" s="122" t="s">
        <v>74</v>
      </c>
      <c r="B44" s="123">
        <v>1</v>
      </c>
      <c r="C44" s="150" t="s">
        <v>75</v>
      </c>
      <c r="D44" s="151">
        <f>D43*$B$34</f>
        <v>43.25</v>
      </c>
      <c r="E44" s="152"/>
      <c r="F44" s="151">
        <f>F43*$B$34</f>
        <v>41.31</v>
      </c>
      <c r="H44" s="147"/>
    </row>
    <row r="45" spans="1:14" ht="19.5" customHeight="1" thickBot="1" x14ac:dyDescent="0.35">
      <c r="A45" s="122" t="s">
        <v>76</v>
      </c>
      <c r="B45" s="134">
        <f>(B44/B43)*(B42/B41)*(B40/B39)*(B38/B37)*B36</f>
        <v>100</v>
      </c>
      <c r="C45" s="150" t="s">
        <v>77</v>
      </c>
      <c r="D45" s="153">
        <f>D44*$B$30/100</f>
        <v>43.033749999999998</v>
      </c>
      <c r="E45" s="154"/>
      <c r="F45" s="153">
        <f>F44*$B$30/100</f>
        <v>41.103450000000002</v>
      </c>
      <c r="H45" s="147"/>
    </row>
    <row r="46" spans="1:14" ht="19.5" customHeight="1" thickBot="1" x14ac:dyDescent="0.35">
      <c r="A46" s="270" t="s">
        <v>78</v>
      </c>
      <c r="B46" s="274"/>
      <c r="C46" s="150" t="s">
        <v>79</v>
      </c>
      <c r="D46" s="155">
        <f>D45/$B$45</f>
        <v>0.43033749999999998</v>
      </c>
      <c r="E46" s="156"/>
      <c r="F46" s="157">
        <f>F45/$B$45</f>
        <v>0.41103450000000002</v>
      </c>
      <c r="H46" s="147"/>
    </row>
    <row r="47" spans="1:14" ht="27" customHeight="1" thickBot="1" x14ac:dyDescent="0.45">
      <c r="A47" s="272"/>
      <c r="B47" s="275"/>
      <c r="C47" s="158" t="s">
        <v>80</v>
      </c>
      <c r="D47" s="159">
        <v>0.4</v>
      </c>
      <c r="E47" s="160"/>
      <c r="F47" s="156"/>
      <c r="H47" s="147"/>
    </row>
    <row r="48" spans="1:14" ht="18.75" x14ac:dyDescent="0.3">
      <c r="C48" s="161" t="s">
        <v>81</v>
      </c>
      <c r="D48" s="153">
        <f>D47*$B$45</f>
        <v>40</v>
      </c>
      <c r="F48" s="162"/>
      <c r="H48" s="147"/>
    </row>
    <row r="49" spans="1:12" ht="19.5" customHeight="1" thickBot="1" x14ac:dyDescent="0.35">
      <c r="C49" s="163" t="s">
        <v>82</v>
      </c>
      <c r="D49" s="164">
        <f>D48/B34</f>
        <v>40</v>
      </c>
      <c r="F49" s="162"/>
      <c r="H49" s="147"/>
    </row>
    <row r="50" spans="1:12" ht="18.75" x14ac:dyDescent="0.3">
      <c r="C50" s="120" t="s">
        <v>83</v>
      </c>
      <c r="D50" s="165">
        <f>AVERAGE(E38:E41,G38:G41)</f>
        <v>20130541.066288516</v>
      </c>
      <c r="F50" s="166"/>
      <c r="H50" s="147"/>
    </row>
    <row r="51" spans="1:12" ht="18.75" x14ac:dyDescent="0.3">
      <c r="C51" s="122" t="s">
        <v>84</v>
      </c>
      <c r="D51" s="167">
        <f>STDEV(E38:E41,G38:G41)/D50</f>
        <v>4.8845258111315933E-4</v>
      </c>
      <c r="F51" s="166"/>
      <c r="H51" s="147"/>
    </row>
    <row r="52" spans="1:12" ht="19.5" customHeight="1" thickBot="1" x14ac:dyDescent="0.35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85</v>
      </c>
    </row>
    <row r="55" spans="1:12" ht="18.75" x14ac:dyDescent="0.3">
      <c r="A55" s="95" t="s">
        <v>86</v>
      </c>
      <c r="B55" s="172" t="str">
        <f>B21</f>
        <v xml:space="preserve">Rifampicin 60mg, Isoniazid 30mg, Pyrazinamide 150mg 
</v>
      </c>
    </row>
    <row r="56" spans="1:12" ht="26.25" customHeight="1" x14ac:dyDescent="0.4">
      <c r="A56" s="172" t="s">
        <v>87</v>
      </c>
      <c r="B56" s="173">
        <v>500</v>
      </c>
      <c r="C56" s="95" t="str">
        <f>B20</f>
        <v xml:space="preserve">Rifampicin, Isoniazid, Pyrazinamide 
</v>
      </c>
      <c r="H56" s="152"/>
    </row>
    <row r="57" spans="1:12" ht="18.75" x14ac:dyDescent="0.3">
      <c r="A57" s="172" t="s">
        <v>88</v>
      </c>
      <c r="B57" s="174">
        <f>Uniformity!C46</f>
        <v>569.99199999999985</v>
      </c>
      <c r="H57" s="152"/>
    </row>
    <row r="58" spans="1:12" ht="19.5" customHeight="1" thickBot="1" x14ac:dyDescent="0.35">
      <c r="H58" s="152"/>
    </row>
    <row r="59" spans="1:12" s="109" customFormat="1" ht="27" customHeight="1" thickBot="1" x14ac:dyDescent="0.45">
      <c r="A59" s="120" t="s">
        <v>89</v>
      </c>
      <c r="B59" s="121">
        <v>100</v>
      </c>
      <c r="C59" s="95"/>
      <c r="D59" s="175" t="s">
        <v>90</v>
      </c>
      <c r="E59" s="176" t="s">
        <v>62</v>
      </c>
      <c r="F59" s="176" t="s">
        <v>63</v>
      </c>
      <c r="G59" s="176" t="s">
        <v>91</v>
      </c>
      <c r="H59" s="124" t="s">
        <v>92</v>
      </c>
      <c r="L59" s="110"/>
    </row>
    <row r="60" spans="1:12" s="109" customFormat="1" ht="26.25" customHeight="1" x14ac:dyDescent="0.4">
      <c r="A60" s="122" t="s">
        <v>93</v>
      </c>
      <c r="B60" s="123">
        <v>1</v>
      </c>
      <c r="C60" s="280" t="s">
        <v>94</v>
      </c>
      <c r="D60" s="283">
        <v>45.78</v>
      </c>
      <c r="E60" s="177">
        <v>1</v>
      </c>
      <c r="F60" s="178">
        <v>20197979</v>
      </c>
      <c r="G60" s="179">
        <f>IF(ISBLANK(F60),"-",(F60/$D$50*$D$47*$B$68)*($B$57/$D$60))</f>
        <v>499.69549216900896</v>
      </c>
      <c r="H60" s="180">
        <f t="shared" ref="H60:H71" si="0">IF(ISBLANK(F60),"-",G60/$B$56)</f>
        <v>0.99939098433801787</v>
      </c>
      <c r="L60" s="110"/>
    </row>
    <row r="61" spans="1:12" s="109" customFormat="1" ht="26.25" customHeight="1" x14ac:dyDescent="0.4">
      <c r="A61" s="122" t="s">
        <v>95</v>
      </c>
      <c r="B61" s="123">
        <v>1</v>
      </c>
      <c r="C61" s="281"/>
      <c r="D61" s="284"/>
      <c r="E61" s="181">
        <v>2</v>
      </c>
      <c r="F61" s="135">
        <v>20205835</v>
      </c>
      <c r="G61" s="182">
        <f>IF(ISBLANK(F61),"-",(F61/$D$50*$D$47*$B$68)*($B$57/$D$60))</f>
        <v>499.88984863340971</v>
      </c>
      <c r="H61" s="183">
        <f t="shared" si="0"/>
        <v>0.99977969726681948</v>
      </c>
      <c r="L61" s="110"/>
    </row>
    <row r="62" spans="1:12" s="109" customFormat="1" ht="26.25" customHeight="1" x14ac:dyDescent="0.4">
      <c r="A62" s="122" t="s">
        <v>96</v>
      </c>
      <c r="B62" s="123">
        <v>1</v>
      </c>
      <c r="C62" s="281"/>
      <c r="D62" s="284"/>
      <c r="E62" s="181">
        <v>3</v>
      </c>
      <c r="F62" s="184">
        <v>20236856</v>
      </c>
      <c r="G62" s="182">
        <f>IF(ISBLANK(F62),"-",(F62/$D$50*$D$47*$B$68)*($B$57/$D$60))</f>
        <v>500.65730432105914</v>
      </c>
      <c r="H62" s="183">
        <f t="shared" si="0"/>
        <v>1.0013146086421183</v>
      </c>
      <c r="L62" s="110"/>
    </row>
    <row r="63" spans="1:12" ht="27" customHeight="1" thickBot="1" x14ac:dyDescent="0.45">
      <c r="A63" s="122" t="s">
        <v>97</v>
      </c>
      <c r="B63" s="123">
        <v>1</v>
      </c>
      <c r="C63" s="282"/>
      <c r="D63" s="285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280" t="s">
        <v>99</v>
      </c>
      <c r="D64" s="283">
        <v>44.95</v>
      </c>
      <c r="E64" s="177">
        <v>1</v>
      </c>
      <c r="F64" s="178">
        <v>19766553</v>
      </c>
      <c r="G64" s="187">
        <f>IF(ISBLANK(F64),"-",(F64/$D$50*$D$47*$B$68)*($B$57/$D$64))</f>
        <v>498.05183992510268</v>
      </c>
      <c r="H64" s="188">
        <f t="shared" si="0"/>
        <v>0.99610367985020531</v>
      </c>
    </row>
    <row r="65" spans="1:8" ht="26.25" customHeight="1" x14ac:dyDescent="0.4">
      <c r="A65" s="122" t="s">
        <v>100</v>
      </c>
      <c r="B65" s="123">
        <v>1</v>
      </c>
      <c r="C65" s="281"/>
      <c r="D65" s="284"/>
      <c r="E65" s="181">
        <v>2</v>
      </c>
      <c r="F65" s="135">
        <v>19742677</v>
      </c>
      <c r="G65" s="189">
        <f>IF(ISBLANK(F65),"-",(F65/$D$50*$D$47*$B$68)*($B$57/$D$64))</f>
        <v>497.45024359568441</v>
      </c>
      <c r="H65" s="190">
        <f t="shared" si="0"/>
        <v>0.99490048719136881</v>
      </c>
    </row>
    <row r="66" spans="1:8" ht="26.25" customHeight="1" x14ac:dyDescent="0.4">
      <c r="A66" s="122" t="s">
        <v>101</v>
      </c>
      <c r="B66" s="123">
        <v>1</v>
      </c>
      <c r="C66" s="281"/>
      <c r="D66" s="284"/>
      <c r="E66" s="181">
        <v>3</v>
      </c>
      <c r="F66" s="135">
        <v>19736723</v>
      </c>
      <c r="G66" s="189">
        <f>IF(ISBLANK(F66),"-",(F66/$D$50*$D$47*$B$68)*($B$57/$D$64))</f>
        <v>497.30022246377973</v>
      </c>
      <c r="H66" s="190">
        <f t="shared" si="0"/>
        <v>0.9946004449275595</v>
      </c>
    </row>
    <row r="67" spans="1:8" ht="27" customHeight="1" thickBot="1" x14ac:dyDescent="0.45">
      <c r="A67" s="122" t="s">
        <v>102</v>
      </c>
      <c r="B67" s="123">
        <v>1</v>
      </c>
      <c r="C67" s="282"/>
      <c r="D67" s="285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2" t="s">
        <v>103</v>
      </c>
      <c r="B68" s="193">
        <f>(B67/B66)*(B65/B64)*(B63/B62)*(B61/B60)*B59</f>
        <v>100</v>
      </c>
      <c r="C68" s="280" t="s">
        <v>104</v>
      </c>
      <c r="D68" s="283">
        <v>45.57</v>
      </c>
      <c r="E68" s="177">
        <v>1</v>
      </c>
      <c r="F68" s="178">
        <v>19870653</v>
      </c>
      <c r="G68" s="187">
        <f>IF(ISBLANK(F68),"-",(F68/$D$50*$D$47*$B$68)*($B$57/$D$68))</f>
        <v>493.86291378810591</v>
      </c>
      <c r="H68" s="183">
        <f t="shared" si="0"/>
        <v>0.98772582757621186</v>
      </c>
    </row>
    <row r="69" spans="1:8" ht="27" customHeight="1" thickBot="1" x14ac:dyDescent="0.45">
      <c r="A69" s="168" t="s">
        <v>105</v>
      </c>
      <c r="B69" s="194">
        <f>(D47*B68)/B56*B57</f>
        <v>45.59935999999999</v>
      </c>
      <c r="C69" s="281"/>
      <c r="D69" s="284"/>
      <c r="E69" s="181">
        <v>2</v>
      </c>
      <c r="F69" s="135">
        <v>19888592</v>
      </c>
      <c r="G69" s="189">
        <f>IF(ISBLANK(F69),"-",(F69/$D$50*$D$47*$B$68)*($B$57/$D$68))</f>
        <v>494.30876762141702</v>
      </c>
      <c r="H69" s="183">
        <f t="shared" si="0"/>
        <v>0.98861753524283402</v>
      </c>
    </row>
    <row r="70" spans="1:8" ht="26.25" customHeight="1" x14ac:dyDescent="0.4">
      <c r="A70" s="294" t="s">
        <v>78</v>
      </c>
      <c r="B70" s="295"/>
      <c r="C70" s="281"/>
      <c r="D70" s="284"/>
      <c r="E70" s="181">
        <v>3</v>
      </c>
      <c r="F70" s="135">
        <v>19880727</v>
      </c>
      <c r="G70" s="189">
        <f>IF(ISBLANK(F70),"-",(F70/$D$50*$D$47*$B$68)*($B$57/$D$68))</f>
        <v>494.11329182014651</v>
      </c>
      <c r="H70" s="183">
        <f t="shared" si="0"/>
        <v>0.98822658364029303</v>
      </c>
    </row>
    <row r="71" spans="1:8" ht="27" customHeight="1" thickBot="1" x14ac:dyDescent="0.45">
      <c r="A71" s="296"/>
      <c r="B71" s="297"/>
      <c r="C71" s="286"/>
      <c r="D71" s="285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96" t="s">
        <v>71</v>
      </c>
      <c r="G72" s="197">
        <f>AVERAGE(G60:G71)</f>
        <v>497.25888048196822</v>
      </c>
      <c r="H72" s="198">
        <f>AVERAGE(H60:H71)</f>
        <v>0.99451776096393651</v>
      </c>
    </row>
    <row r="73" spans="1:8" ht="26.25" customHeight="1" x14ac:dyDescent="0.4">
      <c r="C73" s="152"/>
      <c r="D73" s="152"/>
      <c r="E73" s="152"/>
      <c r="F73" s="199" t="s">
        <v>84</v>
      </c>
      <c r="G73" s="200">
        <f>STDEV(G60:G71)/G72</f>
        <v>5.2828150934040152E-3</v>
      </c>
      <c r="H73" s="200">
        <f>STDEV(H60:H71)/H72</f>
        <v>5.2828150934040126E-3</v>
      </c>
    </row>
    <row r="74" spans="1:8" ht="27" customHeight="1" thickBot="1" x14ac:dyDescent="0.45">
      <c r="A74" s="152"/>
      <c r="B74" s="152"/>
      <c r="C74" s="152"/>
      <c r="D74" s="152"/>
      <c r="E74" s="154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5" t="s">
        <v>106</v>
      </c>
      <c r="B76" s="106" t="s">
        <v>107</v>
      </c>
      <c r="C76" s="276" t="str">
        <f>B20</f>
        <v xml:space="preserve">Rifampicin, Isoniazid, Pyrazinamide 
</v>
      </c>
      <c r="D76" s="276"/>
      <c r="E76" s="95" t="s">
        <v>108</v>
      </c>
      <c r="F76" s="95"/>
      <c r="G76" s="203">
        <f>H72</f>
        <v>0.99451776096393651</v>
      </c>
      <c r="H76" s="111"/>
    </row>
    <row r="77" spans="1:8" ht="18.75" x14ac:dyDescent="0.3">
      <c r="A77" s="104" t="s">
        <v>109</v>
      </c>
      <c r="B77" s="104" t="s">
        <v>110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287" t="str">
        <f>B26</f>
        <v>Pyrazinamide</v>
      </c>
      <c r="C79" s="287"/>
    </row>
    <row r="80" spans="1:8" ht="26.25" customHeight="1" x14ac:dyDescent="0.4">
      <c r="A80" s="106" t="s">
        <v>48</v>
      </c>
      <c r="B80" s="287" t="str">
        <f>B27</f>
        <v>P19-1</v>
      </c>
      <c r="C80" s="287"/>
    </row>
    <row r="81" spans="1:12" ht="27" customHeight="1" thickBot="1" x14ac:dyDescent="0.45">
      <c r="A81" s="106" t="s">
        <v>6</v>
      </c>
      <c r="B81" s="107">
        <f>B28</f>
        <v>99.5</v>
      </c>
    </row>
    <row r="82" spans="1:12" s="109" customFormat="1" ht="27" customHeight="1" thickBot="1" x14ac:dyDescent="0.45">
      <c r="A82" s="106" t="s">
        <v>49</v>
      </c>
      <c r="B82" s="108">
        <v>0</v>
      </c>
      <c r="C82" s="288" t="s">
        <v>50</v>
      </c>
      <c r="D82" s="289"/>
      <c r="E82" s="289"/>
      <c r="F82" s="289"/>
      <c r="G82" s="290"/>
      <c r="I82" s="110"/>
      <c r="J82" s="110"/>
      <c r="K82" s="110"/>
      <c r="L82" s="110"/>
    </row>
    <row r="83" spans="1:12" s="109" customFormat="1" ht="19.5" customHeight="1" thickBot="1" x14ac:dyDescent="0.35">
      <c r="A83" s="106" t="s">
        <v>51</v>
      </c>
      <c r="B83" s="111">
        <f>B81-B82</f>
        <v>99.5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09" customFormat="1" ht="27" customHeight="1" thickBot="1" x14ac:dyDescent="0.45">
      <c r="A84" s="106" t="s">
        <v>52</v>
      </c>
      <c r="B84" s="114">
        <v>1</v>
      </c>
      <c r="C84" s="291" t="s">
        <v>111</v>
      </c>
      <c r="D84" s="292"/>
      <c r="E84" s="292"/>
      <c r="F84" s="292"/>
      <c r="G84" s="292"/>
      <c r="H84" s="293"/>
      <c r="I84" s="110"/>
      <c r="J84" s="110"/>
      <c r="K84" s="110"/>
      <c r="L84" s="110"/>
    </row>
    <row r="85" spans="1:12" s="109" customFormat="1" ht="27" customHeight="1" thickBot="1" x14ac:dyDescent="0.45">
      <c r="A85" s="106" t="s">
        <v>54</v>
      </c>
      <c r="B85" s="114">
        <v>1</v>
      </c>
      <c r="C85" s="291" t="s">
        <v>112</v>
      </c>
      <c r="D85" s="292"/>
      <c r="E85" s="292"/>
      <c r="F85" s="292"/>
      <c r="G85" s="292"/>
      <c r="H85" s="293"/>
      <c r="I85" s="110"/>
      <c r="J85" s="110"/>
      <c r="K85" s="110"/>
      <c r="L85" s="110"/>
    </row>
    <row r="86" spans="1:12" s="109" customFormat="1" ht="18.75" x14ac:dyDescent="0.3">
      <c r="A86" s="106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09" customFormat="1" ht="18.75" x14ac:dyDescent="0.3">
      <c r="A87" s="106" t="s">
        <v>56</v>
      </c>
      <c r="B87" s="119">
        <f>B84/B85</f>
        <v>1</v>
      </c>
      <c r="C87" s="95" t="s">
        <v>57</v>
      </c>
      <c r="D87" s="95"/>
      <c r="E87" s="95"/>
      <c r="F87" s="95"/>
      <c r="G87" s="95"/>
      <c r="I87" s="110"/>
      <c r="J87" s="110"/>
      <c r="K87" s="110"/>
      <c r="L87" s="110"/>
    </row>
    <row r="88" spans="1:12" ht="19.5" customHeight="1" thickBot="1" x14ac:dyDescent="0.35">
      <c r="A88" s="104"/>
      <c r="B88" s="104"/>
    </row>
    <row r="89" spans="1:12" ht="27" customHeight="1" thickBot="1" x14ac:dyDescent="0.45">
      <c r="A89" s="120" t="s">
        <v>58</v>
      </c>
      <c r="B89" s="121">
        <v>100</v>
      </c>
      <c r="D89" s="204" t="s">
        <v>59</v>
      </c>
      <c r="E89" s="205"/>
      <c r="F89" s="278" t="s">
        <v>60</v>
      </c>
      <c r="G89" s="279"/>
    </row>
    <row r="90" spans="1:12" ht="27" customHeight="1" thickBot="1" x14ac:dyDescent="0.45">
      <c r="A90" s="122" t="s">
        <v>61</v>
      </c>
      <c r="B90" s="123">
        <v>5</v>
      </c>
      <c r="C90" s="206" t="s">
        <v>62</v>
      </c>
      <c r="D90" s="125" t="s">
        <v>63</v>
      </c>
      <c r="E90" s="126" t="s">
        <v>64</v>
      </c>
      <c r="F90" s="125" t="s">
        <v>63</v>
      </c>
      <c r="G90" s="207" t="s">
        <v>64</v>
      </c>
      <c r="I90" s="128" t="s">
        <v>65</v>
      </c>
    </row>
    <row r="91" spans="1:12" ht="26.25" customHeight="1" x14ac:dyDescent="0.4">
      <c r="A91" s="122" t="s">
        <v>66</v>
      </c>
      <c r="B91" s="123">
        <v>50</v>
      </c>
      <c r="C91" s="208">
        <v>1</v>
      </c>
      <c r="D91" s="130">
        <v>0.65300000000000002</v>
      </c>
      <c r="E91" s="131">
        <f>IF(ISBLANK(D91),"-",$D$101/$D$98*D91)</f>
        <v>0.74370378722327146</v>
      </c>
      <c r="F91" s="130">
        <v>0.7056</v>
      </c>
      <c r="G91" s="132">
        <f>IF(ISBLANK(F91),"-",$D$101/$F$98*F91)</f>
        <v>0.74580189161614985</v>
      </c>
      <c r="I91" s="133"/>
    </row>
    <row r="92" spans="1:12" ht="26.25" customHeight="1" x14ac:dyDescent="0.4">
      <c r="A92" s="122" t="s">
        <v>67</v>
      </c>
      <c r="B92" s="123">
        <v>10</v>
      </c>
      <c r="C92" s="152">
        <v>2</v>
      </c>
      <c r="D92" s="135">
        <v>0.65459999999999996</v>
      </c>
      <c r="E92" s="136">
        <f>IF(ISBLANK(D92),"-",$D$101/$D$98*D92)</f>
        <v>0.74552603233744785</v>
      </c>
      <c r="F92" s="135">
        <v>0.70950000000000002</v>
      </c>
      <c r="G92" s="137">
        <f>IF(ISBLANK(F92),"-",$D$101/$F$98*F92)</f>
        <v>0.74992409594906229</v>
      </c>
      <c r="I92" s="269">
        <f>ABS((F96/D96*D95)-F95)/D95</f>
        <v>4.2997702203914651E-3</v>
      </c>
    </row>
    <row r="93" spans="1:12" ht="26.25" customHeight="1" x14ac:dyDescent="0.4">
      <c r="A93" s="122" t="s">
        <v>68</v>
      </c>
      <c r="B93" s="123">
        <v>20</v>
      </c>
      <c r="C93" s="152">
        <v>3</v>
      </c>
      <c r="D93" s="135">
        <v>0.65790000000000004</v>
      </c>
      <c r="E93" s="136">
        <f>IF(ISBLANK(D93),"-",$D$101/$D$98*D93)</f>
        <v>0.7492844128854369</v>
      </c>
      <c r="F93" s="135">
        <v>0.71120000000000005</v>
      </c>
      <c r="G93" s="137">
        <f>IF(ISBLANK(F93),"-",$D$101/$F$98*F93)</f>
        <v>0.7517209542480241</v>
      </c>
      <c r="I93" s="269"/>
    </row>
    <row r="94" spans="1:12" ht="27" customHeight="1" thickBot="1" x14ac:dyDescent="0.45">
      <c r="A94" s="122" t="s">
        <v>69</v>
      </c>
      <c r="B94" s="123">
        <v>1</v>
      </c>
      <c r="C94" s="209">
        <v>4</v>
      </c>
      <c r="D94" s="139"/>
      <c r="E94" s="140" t="str">
        <f>IF(ISBLANK(D94),"-",$D$101/$D$98*D94)</f>
        <v>-</v>
      </c>
      <c r="F94" s="210"/>
      <c r="G94" s="141" t="str">
        <f>IF(ISBLANK(F94),"-",$D$101/$F$98*F94)</f>
        <v>-</v>
      </c>
      <c r="I94" s="142"/>
    </row>
    <row r="95" spans="1:12" ht="27" customHeight="1" thickBot="1" x14ac:dyDescent="0.45">
      <c r="A95" s="122" t="s">
        <v>70</v>
      </c>
      <c r="B95" s="123">
        <v>1</v>
      </c>
      <c r="C95" s="106" t="s">
        <v>71</v>
      </c>
      <c r="D95" s="211">
        <f>AVERAGE(D91:D94)</f>
        <v>0.65516666666666667</v>
      </c>
      <c r="E95" s="145">
        <f>AVERAGE(E91:E94)</f>
        <v>0.74617141081538529</v>
      </c>
      <c r="F95" s="212">
        <f>AVERAGE(F91:F94)</f>
        <v>0.70876666666666666</v>
      </c>
      <c r="G95" s="213">
        <f>AVERAGE(G91:G94)</f>
        <v>0.74914898060441215</v>
      </c>
    </row>
    <row r="96" spans="1:12" ht="26.25" customHeight="1" x14ac:dyDescent="0.4">
      <c r="A96" s="122" t="s">
        <v>72</v>
      </c>
      <c r="B96" s="107">
        <v>1</v>
      </c>
      <c r="C96" s="214" t="s">
        <v>113</v>
      </c>
      <c r="D96" s="215">
        <v>19.61</v>
      </c>
      <c r="E96" s="95"/>
      <c r="F96" s="149">
        <v>21.13</v>
      </c>
    </row>
    <row r="97" spans="1:10" ht="26.25" customHeight="1" x14ac:dyDescent="0.4">
      <c r="A97" s="122" t="s">
        <v>74</v>
      </c>
      <c r="B97" s="107">
        <v>1</v>
      </c>
      <c r="C97" s="216" t="s">
        <v>114</v>
      </c>
      <c r="D97" s="217">
        <f>D96*$B$87</f>
        <v>19.61</v>
      </c>
      <c r="E97" s="152"/>
      <c r="F97" s="151">
        <f>F96*$B$87</f>
        <v>21.13</v>
      </c>
    </row>
    <row r="98" spans="1:10" ht="19.5" customHeight="1" thickBot="1" x14ac:dyDescent="0.35">
      <c r="A98" s="122" t="s">
        <v>76</v>
      </c>
      <c r="B98" s="152">
        <f>(B97/B96)*(B95/B94)*(B93/B92)*(B91/B90)*B89</f>
        <v>2000</v>
      </c>
      <c r="C98" s="216" t="s">
        <v>115</v>
      </c>
      <c r="D98" s="218">
        <f>D97*$B$83/100</f>
        <v>19.511949999999999</v>
      </c>
      <c r="E98" s="154"/>
      <c r="F98" s="153">
        <f>F97*$B$83/100</f>
        <v>21.024349999999998</v>
      </c>
    </row>
    <row r="99" spans="1:10" ht="19.5" customHeight="1" thickBot="1" x14ac:dyDescent="0.35">
      <c r="A99" s="270" t="s">
        <v>78</v>
      </c>
      <c r="B99" s="271"/>
      <c r="C99" s="216" t="s">
        <v>116</v>
      </c>
      <c r="D99" s="219">
        <f>D98/$B$98</f>
        <v>9.7559750000000001E-3</v>
      </c>
      <c r="E99" s="154"/>
      <c r="F99" s="157">
        <f>F98/$B$98</f>
        <v>1.0512174999999999E-2</v>
      </c>
      <c r="H99" s="147"/>
    </row>
    <row r="100" spans="1:10" ht="19.5" customHeight="1" thickBot="1" x14ac:dyDescent="0.35">
      <c r="A100" s="272"/>
      <c r="B100" s="273"/>
      <c r="C100" s="216" t="s">
        <v>80</v>
      </c>
      <c r="D100" s="220">
        <f>$B$56/$B$116</f>
        <v>1.1111111111111112E-2</v>
      </c>
      <c r="F100" s="162"/>
      <c r="G100" s="221"/>
      <c r="H100" s="147"/>
    </row>
    <row r="101" spans="1:10" ht="18.75" x14ac:dyDescent="0.3">
      <c r="C101" s="216" t="s">
        <v>81</v>
      </c>
      <c r="D101" s="217">
        <f>D100*$B$98</f>
        <v>22.222222222222221</v>
      </c>
      <c r="F101" s="162"/>
      <c r="H101" s="147"/>
    </row>
    <row r="102" spans="1:10" ht="19.5" customHeight="1" thickBot="1" x14ac:dyDescent="0.35">
      <c r="C102" s="222" t="s">
        <v>82</v>
      </c>
      <c r="D102" s="223">
        <f>D101/B34</f>
        <v>22.222222222222221</v>
      </c>
      <c r="F102" s="166"/>
      <c r="H102" s="147"/>
      <c r="J102" s="224"/>
    </row>
    <row r="103" spans="1:10" ht="18.75" x14ac:dyDescent="0.3">
      <c r="C103" s="225" t="s">
        <v>117</v>
      </c>
      <c r="D103" s="226">
        <f>AVERAGE(E91:E94,G91:G94)</f>
        <v>0.74766019570989872</v>
      </c>
      <c r="F103" s="166"/>
      <c r="G103" s="221"/>
      <c r="H103" s="147"/>
      <c r="J103" s="227"/>
    </row>
    <row r="104" spans="1:10" ht="18.75" x14ac:dyDescent="0.3">
      <c r="C104" s="199" t="s">
        <v>84</v>
      </c>
      <c r="D104" s="228">
        <f>STDEV(E91:E94,G91:G94)/D103</f>
        <v>4.1404053742316194E-3</v>
      </c>
      <c r="F104" s="166"/>
      <c r="H104" s="147"/>
      <c r="J104" s="227"/>
    </row>
    <row r="105" spans="1:10" ht="19.5" customHeight="1" thickBot="1" x14ac:dyDescent="0.35">
      <c r="C105" s="201" t="s">
        <v>20</v>
      </c>
      <c r="D105" s="229">
        <f>COUNT(E91:E94,G91:G94)</f>
        <v>6</v>
      </c>
      <c r="F105" s="166"/>
      <c r="H105" s="147"/>
      <c r="J105" s="227"/>
    </row>
    <row r="106" spans="1:10" ht="19.5" customHeight="1" thickBot="1" x14ac:dyDescent="0.35">
      <c r="A106" s="170"/>
      <c r="B106" s="170"/>
      <c r="C106" s="170"/>
      <c r="D106" s="170"/>
      <c r="E106" s="170"/>
    </row>
    <row r="107" spans="1:10" ht="26.25" customHeight="1" x14ac:dyDescent="0.4">
      <c r="A107" s="120" t="s">
        <v>118</v>
      </c>
      <c r="B107" s="121">
        <v>900</v>
      </c>
      <c r="C107" s="204" t="s">
        <v>119</v>
      </c>
      <c r="D107" s="230" t="s">
        <v>63</v>
      </c>
      <c r="E107" s="231" t="s">
        <v>120</v>
      </c>
      <c r="F107" s="232" t="s">
        <v>121</v>
      </c>
    </row>
    <row r="108" spans="1:10" ht="26.25" customHeight="1" x14ac:dyDescent="0.4">
      <c r="A108" s="122" t="s">
        <v>122</v>
      </c>
      <c r="B108" s="123">
        <v>4</v>
      </c>
      <c r="C108" s="233">
        <v>1</v>
      </c>
      <c r="D108" s="234">
        <v>0.7268</v>
      </c>
      <c r="E108" s="235">
        <f t="shared" ref="E108:E113" si="1">IF(ISBLANK(D108),"-",D108/$D$103*$D$100*$B$116)</f>
        <v>486.04968150665553</v>
      </c>
      <c r="F108" s="236">
        <f t="shared" ref="F108:F113" si="2">IF(ISBLANK(D108), "-", E108/$B$56)</f>
        <v>0.97209936301331101</v>
      </c>
    </row>
    <row r="109" spans="1:10" ht="26.25" customHeight="1" x14ac:dyDescent="0.4">
      <c r="A109" s="122" t="s">
        <v>95</v>
      </c>
      <c r="B109" s="123">
        <v>100</v>
      </c>
      <c r="C109" s="233">
        <v>2</v>
      </c>
      <c r="D109" s="234">
        <v>0.73229999999999995</v>
      </c>
      <c r="E109" s="237">
        <f t="shared" si="1"/>
        <v>489.72782301503003</v>
      </c>
      <c r="F109" s="238">
        <f t="shared" si="2"/>
        <v>0.97945564603006008</v>
      </c>
    </row>
    <row r="110" spans="1:10" ht="26.25" customHeight="1" x14ac:dyDescent="0.4">
      <c r="A110" s="122" t="s">
        <v>96</v>
      </c>
      <c r="B110" s="123">
        <v>10</v>
      </c>
      <c r="C110" s="233">
        <v>3</v>
      </c>
      <c r="D110" s="234">
        <v>0.7238</v>
      </c>
      <c r="E110" s="237">
        <f t="shared" si="1"/>
        <v>484.04342250208765</v>
      </c>
      <c r="F110" s="238">
        <f t="shared" si="2"/>
        <v>0.9680868450041753</v>
      </c>
    </row>
    <row r="111" spans="1:10" ht="26.25" customHeight="1" x14ac:dyDescent="0.4">
      <c r="A111" s="122" t="s">
        <v>97</v>
      </c>
      <c r="B111" s="123">
        <v>20</v>
      </c>
      <c r="C111" s="233">
        <v>4</v>
      </c>
      <c r="D111" s="234">
        <v>0.74209999999999998</v>
      </c>
      <c r="E111" s="237">
        <f t="shared" si="1"/>
        <v>496.28160242995193</v>
      </c>
      <c r="F111" s="238">
        <f t="shared" si="2"/>
        <v>0.9925632048599039</v>
      </c>
    </row>
    <row r="112" spans="1:10" ht="26.25" customHeight="1" x14ac:dyDescent="0.4">
      <c r="A112" s="122" t="s">
        <v>98</v>
      </c>
      <c r="B112" s="123">
        <v>1</v>
      </c>
      <c r="C112" s="233">
        <v>5</v>
      </c>
      <c r="D112" s="234">
        <v>0.73338000000000003</v>
      </c>
      <c r="E112" s="237">
        <f t="shared" si="1"/>
        <v>490.45007625667455</v>
      </c>
      <c r="F112" s="238">
        <f t="shared" si="2"/>
        <v>0.98090015251334906</v>
      </c>
    </row>
    <row r="113" spans="1:10" ht="26.25" customHeight="1" x14ac:dyDescent="0.4">
      <c r="A113" s="122" t="s">
        <v>100</v>
      </c>
      <c r="B113" s="123">
        <v>1</v>
      </c>
      <c r="C113" s="239">
        <v>6</v>
      </c>
      <c r="D113" s="240">
        <v>0.72760000000000002</v>
      </c>
      <c r="E113" s="241">
        <f t="shared" si="1"/>
        <v>486.58468390787368</v>
      </c>
      <c r="F113" s="242">
        <f t="shared" si="2"/>
        <v>0.97316936781574737</v>
      </c>
    </row>
    <row r="114" spans="1:10" ht="26.25" customHeight="1" x14ac:dyDescent="0.4">
      <c r="A114" s="122" t="s">
        <v>101</v>
      </c>
      <c r="B114" s="123">
        <v>1</v>
      </c>
      <c r="C114" s="233"/>
      <c r="D114" s="152"/>
      <c r="E114" s="95"/>
      <c r="F114" s="243"/>
    </row>
    <row r="115" spans="1:10" ht="26.25" customHeight="1" x14ac:dyDescent="0.4">
      <c r="A115" s="122" t="s">
        <v>102</v>
      </c>
      <c r="B115" s="123">
        <v>1</v>
      </c>
      <c r="C115" s="233"/>
      <c r="D115" s="244" t="s">
        <v>71</v>
      </c>
      <c r="E115" s="245">
        <f>AVERAGE(E108:E113)</f>
        <v>488.85621493637888</v>
      </c>
      <c r="F115" s="246">
        <f>AVERAGE(F108:F113)</f>
        <v>0.97771242987275775</v>
      </c>
    </row>
    <row r="116" spans="1:10" ht="27" customHeight="1" thickBot="1" x14ac:dyDescent="0.45">
      <c r="A116" s="122" t="s">
        <v>103</v>
      </c>
      <c r="B116" s="134">
        <f>(B115/B114)*(B113/B112)*(B111/B110)*(B109/B108)*B107</f>
        <v>45000</v>
      </c>
      <c r="C116" s="247"/>
      <c r="D116" s="106" t="s">
        <v>84</v>
      </c>
      <c r="E116" s="248">
        <f>STDEV(E108:E113)/E115</f>
        <v>8.8994236153610729E-3</v>
      </c>
      <c r="F116" s="248">
        <f>STDEV(F108:F113)/F115</f>
        <v>8.899423615361092E-3</v>
      </c>
      <c r="I116" s="95"/>
    </row>
    <row r="117" spans="1:10" ht="27" customHeight="1" thickBot="1" x14ac:dyDescent="0.45">
      <c r="A117" s="270" t="s">
        <v>78</v>
      </c>
      <c r="B117" s="274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5"/>
      <c r="J117" s="227"/>
    </row>
    <row r="118" spans="1:10" ht="19.5" customHeight="1" thickBot="1" x14ac:dyDescent="0.35">
      <c r="A118" s="272"/>
      <c r="B118" s="275"/>
      <c r="C118" s="95"/>
      <c r="D118" s="95"/>
      <c r="E118" s="95"/>
      <c r="F118" s="152"/>
      <c r="G118" s="95"/>
      <c r="H118" s="95"/>
      <c r="I118" s="95"/>
    </row>
    <row r="119" spans="1:10" ht="18.75" x14ac:dyDescent="0.3">
      <c r="A119" s="252"/>
      <c r="B119" s="118"/>
      <c r="C119" s="95"/>
      <c r="D119" s="95"/>
      <c r="E119" s="95"/>
      <c r="F119" s="152"/>
      <c r="G119" s="95"/>
      <c r="H119" s="95"/>
      <c r="I119" s="95"/>
    </row>
    <row r="120" spans="1:10" ht="26.25" customHeight="1" x14ac:dyDescent="0.4">
      <c r="A120" s="105" t="s">
        <v>106</v>
      </c>
      <c r="B120" s="106" t="s">
        <v>123</v>
      </c>
      <c r="C120" s="276" t="str">
        <f>B20</f>
        <v xml:space="preserve">Rifampicin, Isoniazid, Pyrazinamide 
</v>
      </c>
      <c r="D120" s="276"/>
      <c r="E120" s="95" t="s">
        <v>124</v>
      </c>
      <c r="F120" s="95"/>
      <c r="G120" s="203">
        <f>F115</f>
        <v>0.97771242987275775</v>
      </c>
      <c r="H120" s="95"/>
      <c r="I120" s="95"/>
    </row>
    <row r="121" spans="1:10" ht="19.5" customHeight="1" thickBot="1" x14ac:dyDescent="0.35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277" t="s">
        <v>26</v>
      </c>
      <c r="C122" s="277"/>
      <c r="E122" s="206" t="s">
        <v>27</v>
      </c>
      <c r="F122" s="255"/>
      <c r="G122" s="277" t="s">
        <v>28</v>
      </c>
      <c r="H122" s="277"/>
    </row>
    <row r="123" spans="1:10" ht="69.95" customHeight="1" x14ac:dyDescent="0.3">
      <c r="A123" s="105" t="s">
        <v>29</v>
      </c>
      <c r="B123" s="256"/>
      <c r="C123" s="256"/>
      <c r="E123" s="256"/>
      <c r="F123" s="95"/>
      <c r="G123" s="256"/>
      <c r="H123" s="256"/>
    </row>
    <row r="124" spans="1:10" ht="69.95" customHeight="1" x14ac:dyDescent="0.3">
      <c r="A124" s="105" t="s">
        <v>30</v>
      </c>
      <c r="B124" s="257"/>
      <c r="C124" s="257"/>
      <c r="E124" s="257"/>
      <c r="F124" s="95"/>
      <c r="G124" s="258"/>
      <c r="H124" s="258"/>
    </row>
    <row r="125" spans="1:10" ht="18.75" x14ac:dyDescent="0.3">
      <c r="A125" s="152"/>
      <c r="B125" s="152"/>
      <c r="C125" s="152"/>
      <c r="D125" s="152"/>
      <c r="E125" s="152"/>
      <c r="F125" s="154"/>
      <c r="G125" s="152"/>
      <c r="H125" s="152"/>
      <c r="I125" s="95"/>
    </row>
    <row r="126" spans="1:10" ht="18.75" x14ac:dyDescent="0.3">
      <c r="A126" s="152"/>
      <c r="B126" s="152"/>
      <c r="C126" s="152"/>
      <c r="D126" s="152"/>
      <c r="E126" s="152"/>
      <c r="F126" s="154"/>
      <c r="G126" s="152"/>
      <c r="H126" s="152"/>
      <c r="I126" s="95"/>
    </row>
    <row r="127" spans="1:10" ht="18.75" x14ac:dyDescent="0.3">
      <c r="A127" s="152"/>
      <c r="B127" s="152"/>
      <c r="C127" s="152"/>
      <c r="D127" s="152"/>
      <c r="E127" s="152"/>
      <c r="F127" s="154"/>
      <c r="G127" s="152"/>
      <c r="H127" s="152"/>
      <c r="I127" s="95"/>
    </row>
    <row r="128" spans="1:10" ht="18.75" x14ac:dyDescent="0.3">
      <c r="A128" s="152"/>
      <c r="B128" s="152"/>
      <c r="C128" s="152"/>
      <c r="D128" s="152"/>
      <c r="E128" s="152"/>
      <c r="F128" s="154"/>
      <c r="G128" s="152"/>
      <c r="H128" s="152"/>
      <c r="I128" s="95"/>
    </row>
    <row r="129" spans="1:9" ht="18.75" x14ac:dyDescent="0.3">
      <c r="A129" s="152"/>
      <c r="B129" s="152"/>
      <c r="C129" s="152"/>
      <c r="D129" s="152"/>
      <c r="E129" s="152"/>
      <c r="F129" s="154"/>
      <c r="G129" s="152"/>
      <c r="H129" s="152"/>
      <c r="I129" s="95"/>
    </row>
    <row r="130" spans="1:9" ht="18.75" x14ac:dyDescent="0.3">
      <c r="A130" s="152"/>
      <c r="B130" s="152"/>
      <c r="C130" s="152"/>
      <c r="D130" s="152"/>
      <c r="E130" s="152"/>
      <c r="F130" s="154"/>
      <c r="G130" s="152"/>
      <c r="H130" s="152"/>
      <c r="I130" s="95"/>
    </row>
    <row r="131" spans="1:9" ht="18.75" x14ac:dyDescent="0.3">
      <c r="A131" s="152"/>
      <c r="B131" s="152"/>
      <c r="C131" s="152"/>
      <c r="D131" s="152"/>
      <c r="E131" s="152"/>
      <c r="F131" s="154"/>
      <c r="G131" s="152"/>
      <c r="H131" s="152"/>
      <c r="I131" s="95"/>
    </row>
    <row r="132" spans="1:9" ht="18.75" x14ac:dyDescent="0.3">
      <c r="A132" s="152"/>
      <c r="B132" s="152"/>
      <c r="C132" s="152"/>
      <c r="D132" s="152"/>
      <c r="E132" s="152"/>
      <c r="F132" s="154"/>
      <c r="G132" s="152"/>
      <c r="H132" s="152"/>
      <c r="I132" s="95"/>
    </row>
    <row r="133" spans="1:9" ht="18.75" x14ac:dyDescent="0.3">
      <c r="A133" s="152"/>
      <c r="B133" s="152"/>
      <c r="C133" s="152"/>
      <c r="D133" s="152"/>
      <c r="E133" s="152"/>
      <c r="F133" s="154"/>
      <c r="G133" s="152"/>
      <c r="H133" s="152"/>
      <c r="I133" s="95"/>
    </row>
    <row r="250" spans="1:1" x14ac:dyDescent="0.25">
      <c r="A250" s="9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PYRAZINAMIDE</vt:lpstr>
      <vt:lpstr>Uniformity</vt:lpstr>
      <vt:lpstr>Pyrazinamide</vt:lpstr>
      <vt:lpstr>Pyrazinamide!Print_Area</vt:lpstr>
      <vt:lpstr>'SST PYRAZINAMIDE'!Print_Area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2016-06-17T14:00:39Z</cp:lastPrinted>
  <dcterms:created xsi:type="dcterms:W3CDTF">2005-07-05T10:19:27Z</dcterms:created>
  <dcterms:modified xsi:type="dcterms:W3CDTF">2016-06-21T07:39:31Z</dcterms:modified>
</cp:coreProperties>
</file>