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" sheetId="1" r:id="rId1"/>
    <sheet name="Uniformity" sheetId="2" r:id="rId2"/>
    <sheet name="Pyrazinamide" sheetId="4" r:id="rId3"/>
  </sheets>
  <externalReferences>
    <externalReference r:id="rId4"/>
  </externalReferences>
  <definedNames>
    <definedName name="_xlnm.Print_Area" localSheetId="2">Pyrazinamide!$A$1:$I$124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C120" i="4" l="1"/>
  <c r="B116" i="4"/>
  <c r="D100" i="4" s="1"/>
  <c r="B98" i="4"/>
  <c r="F97" i="4"/>
  <c r="F98" i="4" s="1"/>
  <c r="D97" i="4"/>
  <c r="D98" i="4" s="1"/>
  <c r="F95" i="4"/>
  <c r="D95" i="4"/>
  <c r="G94" i="4"/>
  <c r="E94" i="4"/>
  <c r="B87" i="4"/>
  <c r="B83" i="4"/>
  <c r="B81" i="4"/>
  <c r="B80" i="4"/>
  <c r="B79" i="4"/>
  <c r="C76" i="4"/>
  <c r="H71" i="4"/>
  <c r="G71" i="4"/>
  <c r="G68" i="4"/>
  <c r="H68" i="4" s="1"/>
  <c r="B68" i="4"/>
  <c r="H67" i="4"/>
  <c r="G67" i="4"/>
  <c r="H63" i="4"/>
  <c r="G63" i="4"/>
  <c r="B57" i="4"/>
  <c r="C56" i="4"/>
  <c r="B55" i="4"/>
  <c r="D48" i="4"/>
  <c r="D49" i="4" s="1"/>
  <c r="F45" i="4"/>
  <c r="F46" i="4" s="1"/>
  <c r="B45" i="4"/>
  <c r="F44" i="4"/>
  <c r="D44" i="4"/>
  <c r="D45" i="4" s="1"/>
  <c r="F42" i="4"/>
  <c r="D42" i="4"/>
  <c r="G41" i="4"/>
  <c r="E41" i="4"/>
  <c r="G38" i="4"/>
  <c r="B34" i="4"/>
  <c r="B30" i="4"/>
  <c r="D101" i="4" l="1"/>
  <c r="D102" i="4" s="1"/>
  <c r="B69" i="4"/>
  <c r="I92" i="4"/>
  <c r="I39" i="4"/>
  <c r="G39" i="4"/>
  <c r="E40" i="4"/>
  <c r="D46" i="4"/>
  <c r="E38" i="4"/>
  <c r="E93" i="4"/>
  <c r="D99" i="4"/>
  <c r="F99" i="4"/>
  <c r="E39" i="4"/>
  <c r="G40" i="4"/>
  <c r="G42" i="4" s="1"/>
  <c r="G91" i="4" l="1"/>
  <c r="E91" i="4"/>
  <c r="G92" i="4"/>
  <c r="E92" i="4"/>
  <c r="G93" i="4"/>
  <c r="D52" i="4"/>
  <c r="D50" i="4"/>
  <c r="E42" i="4"/>
  <c r="G95" i="4" l="1"/>
  <c r="E95" i="4"/>
  <c r="D105" i="4"/>
  <c r="D103" i="4"/>
  <c r="E109" i="4" s="1"/>
  <c r="F109" i="4" s="1"/>
  <c r="G70" i="4"/>
  <c r="H70" i="4" s="1"/>
  <c r="G69" i="4"/>
  <c r="H69" i="4" s="1"/>
  <c r="E111" i="4"/>
  <c r="F111" i="4" s="1"/>
  <c r="D104" i="4"/>
  <c r="E110" i="4"/>
  <c r="F110" i="4" s="1"/>
  <c r="G66" i="4"/>
  <c r="H66" i="4" s="1"/>
  <c r="G64" i="4"/>
  <c r="H64" i="4" s="1"/>
  <c r="G62" i="4"/>
  <c r="H62" i="4" s="1"/>
  <c r="G60" i="4"/>
  <c r="D51" i="4"/>
  <c r="G65" i="4"/>
  <c r="H65" i="4" s="1"/>
  <c r="G61" i="4"/>
  <c r="H61" i="4" s="1"/>
  <c r="E112" i="4" l="1"/>
  <c r="F112" i="4" s="1"/>
  <c r="E113" i="4"/>
  <c r="F113" i="4" s="1"/>
  <c r="E108" i="4"/>
  <c r="G74" i="4"/>
  <c r="G72" i="4"/>
  <c r="G73" i="4" s="1"/>
  <c r="H60" i="4"/>
  <c r="F108" i="4"/>
  <c r="E117" i="4" l="1"/>
  <c r="E115" i="4"/>
  <c r="E116" i="4" s="1"/>
  <c r="F117" i="4"/>
  <c r="F115" i="4"/>
  <c r="H74" i="4"/>
  <c r="H72" i="4"/>
  <c r="G76" i="4" l="1"/>
  <c r="H73" i="4"/>
  <c r="G120" i="4"/>
  <c r="F116" i="4"/>
  <c r="D50" i="2" l="1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<sst xmlns="http://schemas.openxmlformats.org/spreadsheetml/2006/main" count="233" uniqueCount="130">
  <si>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</si>
  <si>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</si>
  <si>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</si>
  <si>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</si>
  <si>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</si>
  <si>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PYRAZINAMIDE TABLETS BP</t>
  </si>
  <si>
    <t>% age Purity:</t>
  </si>
  <si>
    <t>NDQD2016061124</t>
  </si>
  <si>
    <t>Weight (mg):</t>
  </si>
  <si>
    <t>Pyrazinamide</t>
  </si>
  <si>
    <t>Standard Conc (mg/mL):</t>
  </si>
  <si>
    <t>Pyrazinamide BP 500mg</t>
  </si>
  <si>
    <t>2016-06-10 14:54:10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</si>
  <si>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</si>
  <si>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</si>
  <si>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</si>
  <si>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</si>
  <si>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</si>
  <si>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</si>
  <si>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</si>
  <si>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</si>
  <si>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</si>
  <si>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</si>
  <si>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</si>
  <si>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</si>
  <si>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</si>
  <si>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</si>
  <si>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</si>
  <si>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</si>
  <si>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</si>
  <si>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</si>
  <si>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</si>
  <si>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</si>
  <si>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</si>
  <si>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</si>
  <si>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</si>
  <si>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</si>
  <si>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</si>
  <si>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</si>
  <si>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</si>
  <si>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</si>
  <si>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</si>
  <si>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</si>
  <si>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</si>
  <si>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</si>
  <si>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</si>
  <si>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</si>
  <si>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</si>
  <si>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</si>
  <si>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</si>
  <si>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</si>
  <si>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</si>
  <si>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</si>
  <si>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</si>
  <si>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</si>
  <si>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</si>
  <si>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</si>
  <si>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</si>
  <si>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</si>
  <si>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</si>
  <si>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</si>
  <si>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</si>
  <si>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</si>
  <si>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</si>
  <si>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</si>
  <si>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</si>
  <si>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</si>
  <si>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</si>
  <si>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</si>
  <si>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</si>
  <si>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</si>
  <si>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</si>
  <si>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</si>
  <si>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</si>
  <si>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</si>
  <si>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</si>
  <si>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</si>
  <si>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</si>
  <si>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</si>
  <si>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</si>
  <si>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</si>
  <si>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</si>
  <si>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</si>
  <si>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</si>
  <si>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</si>
  <si>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</si>
  <si>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</si>
  <si>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</si>
  <si>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</si>
  <si>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</si>
  <si>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</si>
  <si>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</si>
  <si>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</si>
  <si>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</si>
  <si>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</si>
  <si>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</si>
  <si>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</si>
  <si>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</si>
  <si>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</si>
  <si>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</si>
  <si>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</si>
  <si>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</si>
  <si>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</si>
  <si>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</si>
  <si>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</si>
  <si>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</si>
  <si>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</si>
  <si>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</si>
  <si>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</si>
  <si>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</si>
  <si>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</si>
  <si>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</si>
  <si>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</si>
  <si>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</si>
  <si>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</si>
  <si>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</si>
  <si>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</si>
  <si>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</si>
  <si>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</si>
  <si>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</si>
  <si>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</si>
  <si>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</si>
  <si>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</si>
  <si>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</si>
  <si>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</si>
  <si>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60MG, ISONIAZID 30MG, PYRAZINAMIDE 150MG.</t>
  </si>
  <si>
    <t xml:space="preserve">Rifampicin, Isoniazid, Pyrazinamide 
</t>
  </si>
  <si>
    <t xml:space="preserve">Rifampicin 60mg, Isoniazid 30mg, Pyrazinamide 150mg 
</t>
  </si>
  <si>
    <t>P19-1</t>
  </si>
  <si>
    <t>PYRAZINAMIDE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</si>
</sst>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PYRAZINAMIDE"/>
      <sheetName val="Uniformity"/>
      <sheetName val="Pyrazinamide"/>
    </sheetNames>
    <sheetDataSet>
      <sheetData sheetId="0"/>
      <sheetData sheetId="1">
        <row r="46">
          <cell r="C46">
            <v>569.99199999999985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">
        <v>129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43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0.43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17305822</v>
      </c>
      <c r="C24" s="18">
        <v>9928.6</v>
      </c>
      <c r="D24" s="19">
        <v>1.1000000000000001</v>
      </c>
      <c r="E24" s="20">
        <v>3.5</v>
      </c>
    </row>
    <row r="25" spans="1:6" ht="16.5" customHeight="1" x14ac:dyDescent="0.3">
      <c r="A25" s="17">
        <v>2</v>
      </c>
      <c r="B25" s="18">
        <v>17304088</v>
      </c>
      <c r="C25" s="18">
        <v>11320.7</v>
      </c>
      <c r="D25" s="19">
        <v>1.1000000000000001</v>
      </c>
      <c r="E25" s="19">
        <v>3.6</v>
      </c>
    </row>
    <row r="26" spans="1:6" ht="16.5" customHeight="1" x14ac:dyDescent="0.3">
      <c r="A26" s="17">
        <v>3</v>
      </c>
      <c r="B26" s="18">
        <v>17278173</v>
      </c>
      <c r="C26" s="18">
        <v>11398.4</v>
      </c>
      <c r="D26" s="19">
        <v>1.1000000000000001</v>
      </c>
      <c r="E26" s="19">
        <v>3.6</v>
      </c>
    </row>
    <row r="27" spans="1:6" ht="16.5" customHeight="1" x14ac:dyDescent="0.3">
      <c r="A27" s="17">
        <v>4</v>
      </c>
      <c r="B27" s="18">
        <v>17298618</v>
      </c>
      <c r="C27" s="18">
        <v>11462.8</v>
      </c>
      <c r="D27" s="19">
        <v>1.1000000000000001</v>
      </c>
      <c r="E27" s="19">
        <v>3.6</v>
      </c>
    </row>
    <row r="28" spans="1:6" ht="16.5" customHeight="1" x14ac:dyDescent="0.3">
      <c r="A28" s="17">
        <v>5</v>
      </c>
      <c r="B28" s="18">
        <v>17279695</v>
      </c>
      <c r="C28" s="18">
        <v>11479.7</v>
      </c>
      <c r="D28" s="19">
        <v>1.1000000000000001</v>
      </c>
      <c r="E28" s="19">
        <v>3.6</v>
      </c>
    </row>
    <row r="29" spans="1:6" ht="16.5" customHeight="1" x14ac:dyDescent="0.3">
      <c r="A29" s="17">
        <v>6</v>
      </c>
      <c r="B29" s="21">
        <v>17287777</v>
      </c>
      <c r="C29" s="21">
        <v>11493</v>
      </c>
      <c r="D29" s="22">
        <v>1.1000000000000001</v>
      </c>
      <c r="E29" s="22">
        <v>3.6</v>
      </c>
    </row>
    <row r="30" spans="1:6" ht="16.5" customHeight="1" x14ac:dyDescent="0.3">
      <c r="A30" s="23" t="s">
        <v>18</v>
      </c>
      <c r="B30" s="24">
        <f>AVERAGE(B24:B29)</f>
        <v>17292362.166666668</v>
      </c>
      <c r="C30" s="25">
        <f>AVERAGE(C24:C29)</f>
        <v>11180.533333333333</v>
      </c>
      <c r="D30" s="26">
        <f>AVERAGE(D24:D29)</f>
        <v>1.0999999999999999</v>
      </c>
      <c r="E30" s="26">
        <f>AVERAGE(E24:E29)</f>
        <v>3.5833333333333335</v>
      </c>
    </row>
    <row r="31" spans="1:6" ht="16.5" customHeight="1" x14ac:dyDescent="0.3">
      <c r="A31" s="27" t="s">
        <v>19</v>
      </c>
      <c r="B31" s="28">
        <f>(STDEV(B24:B29)/B30)</f>
        <v>7.038105425318592E-4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43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0.43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17305822</v>
      </c>
      <c r="C45" s="18">
        <v>9928.6</v>
      </c>
      <c r="D45" s="19">
        <v>1.1000000000000001</v>
      </c>
      <c r="E45" s="20">
        <v>3.5</v>
      </c>
    </row>
    <row r="46" spans="1:6" ht="16.5" customHeight="1" x14ac:dyDescent="0.3">
      <c r="A46" s="17">
        <v>2</v>
      </c>
      <c r="B46" s="18">
        <v>17304088</v>
      </c>
      <c r="C46" s="18">
        <v>11320.7</v>
      </c>
      <c r="D46" s="19">
        <v>1.1000000000000001</v>
      </c>
      <c r="E46" s="19">
        <v>3.6</v>
      </c>
    </row>
    <row r="47" spans="1:6" ht="16.5" customHeight="1" x14ac:dyDescent="0.3">
      <c r="A47" s="17">
        <v>3</v>
      </c>
      <c r="B47" s="18">
        <v>17278173</v>
      </c>
      <c r="C47" s="18">
        <v>11398.4</v>
      </c>
      <c r="D47" s="19">
        <v>1.1000000000000001</v>
      </c>
      <c r="E47" s="19">
        <v>3.6</v>
      </c>
    </row>
    <row r="48" spans="1:6" ht="16.5" customHeight="1" x14ac:dyDescent="0.3">
      <c r="A48" s="17">
        <v>4</v>
      </c>
      <c r="B48" s="18">
        <v>17298618</v>
      </c>
      <c r="C48" s="18">
        <v>11462.8</v>
      </c>
      <c r="D48" s="19">
        <v>1.1000000000000001</v>
      </c>
      <c r="E48" s="19">
        <v>3.6</v>
      </c>
    </row>
    <row r="49" spans="1:7" ht="16.5" customHeight="1" x14ac:dyDescent="0.3">
      <c r="A49" s="17">
        <v>5</v>
      </c>
      <c r="B49" s="18">
        <v>17279695</v>
      </c>
      <c r="C49" s="18">
        <v>11479.7</v>
      </c>
      <c r="D49" s="19">
        <v>1.1000000000000001</v>
      </c>
      <c r="E49" s="19">
        <v>3.6</v>
      </c>
    </row>
    <row r="50" spans="1:7" ht="16.5" customHeight="1" x14ac:dyDescent="0.3">
      <c r="A50" s="17">
        <v>6</v>
      </c>
      <c r="B50" s="21">
        <v>17287777</v>
      </c>
      <c r="C50" s="21">
        <v>11493</v>
      </c>
      <c r="D50" s="22">
        <v>1.1000000000000001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17292362.166666668</v>
      </c>
      <c r="C51" s="25">
        <f>AVERAGE(C45:C50)</f>
        <v>11180.533333333333</v>
      </c>
      <c r="D51" s="26">
        <f>AVERAGE(D45:D50)</f>
        <v>1.0999999999999999</v>
      </c>
      <c r="E51" s="26">
        <f>AVERAGE(E45:E50)</f>
        <v>3.5833333333333335</v>
      </c>
    </row>
    <row r="52" spans="1:7" ht="16.5" customHeight="1" x14ac:dyDescent="0.3">
      <c r="A52" s="27" t="s">
        <v>19</v>
      </c>
      <c r="B52" s="28">
        <f>(STDEV(B45:B50)/B51)</f>
        <v>7.038105425318592E-4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5" t="s">
        <v>26</v>
      </c>
      <c r="C59" s="2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9" t="s">
        <v>31</v>
      </c>
      <c r="B11" s="270"/>
      <c r="C11" s="270"/>
      <c r="D11" s="270"/>
      <c r="E11" s="270"/>
      <c r="F11" s="271"/>
      <c r="G11" s="91"/>
    </row>
    <row r="12" spans="1:7" ht="16.5" customHeight="1" x14ac:dyDescent="0.3">
      <c r="A12" s="268" t="s">
        <v>32</v>
      </c>
      <c r="B12" s="268"/>
      <c r="C12" s="268"/>
      <c r="D12" s="268"/>
      <c r="E12" s="268"/>
      <c r="F12" s="268"/>
      <c r="G12" s="90"/>
    </row>
    <row r="14" spans="1:7" ht="16.5" customHeight="1" x14ac:dyDescent="0.3">
      <c r="A14" s="273" t="s">
        <v>33</v>
      </c>
      <c r="B14" s="273"/>
      <c r="C14" s="60" t="s">
        <v>5</v>
      </c>
    </row>
    <row r="15" spans="1:7" ht="16.5" customHeight="1" x14ac:dyDescent="0.3">
      <c r="A15" s="273" t="s">
        <v>34</v>
      </c>
      <c r="B15" s="273"/>
      <c r="C15" s="60" t="s">
        <v>7</v>
      </c>
    </row>
    <row r="16" spans="1:7" ht="16.5" customHeight="1" x14ac:dyDescent="0.3">
      <c r="A16" s="273" t="s">
        <v>35</v>
      </c>
      <c r="B16" s="273"/>
      <c r="C16" s="60" t="s">
        <v>9</v>
      </c>
    </row>
    <row r="17" spans="1:5" ht="16.5" customHeight="1" x14ac:dyDescent="0.3">
      <c r="A17" s="273" t="s">
        <v>36</v>
      </c>
      <c r="B17" s="273"/>
      <c r="C17" s="60" t="s">
        <v>11</v>
      </c>
    </row>
    <row r="18" spans="1:5" ht="16.5" customHeight="1" x14ac:dyDescent="0.3">
      <c r="A18" s="273" t="s">
        <v>37</v>
      </c>
      <c r="B18" s="273"/>
      <c r="C18" s="97" t="s">
        <v>12</v>
      </c>
    </row>
    <row r="19" spans="1:5" ht="16.5" customHeight="1" x14ac:dyDescent="0.3">
      <c r="A19" s="273" t="s">
        <v>38</v>
      </c>
      <c r="B19" s="2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8" t="s">
        <v>1</v>
      </c>
      <c r="B21" s="268"/>
      <c r="C21" s="59" t="s">
        <v>39</v>
      </c>
      <c r="D21" s="66"/>
    </row>
    <row r="22" spans="1:5" ht="15.75" customHeight="1" x14ac:dyDescent="0.3">
      <c r="A22" s="272"/>
      <c r="B22" s="272"/>
      <c r="C22" s="57"/>
      <c r="D22" s="272"/>
      <c r="E22" s="2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570.87</v>
      </c>
      <c r="D24" s="87">
        <f t="shared" ref="D24:D43" si="0">(C24-$C$46)/$C$46</f>
        <v>2.6978891125419252E-3</v>
      </c>
      <c r="E24" s="53"/>
    </row>
    <row r="25" spans="1:5" ht="15.75" customHeight="1" x14ac:dyDescent="0.3">
      <c r="C25" s="95">
        <v>573.97</v>
      </c>
      <c r="D25" s="88">
        <f t="shared" si="0"/>
        <v>8.1428476079067232E-3</v>
      </c>
      <c r="E25" s="53"/>
    </row>
    <row r="26" spans="1:5" ht="15.75" customHeight="1" x14ac:dyDescent="0.3">
      <c r="C26" s="95">
        <v>573.25</v>
      </c>
      <c r="D26" s="88">
        <f t="shared" si="0"/>
        <v>6.8782120864026028E-3</v>
      </c>
      <c r="E26" s="53"/>
    </row>
    <row r="27" spans="1:5" ht="15.75" customHeight="1" x14ac:dyDescent="0.3">
      <c r="C27" s="95">
        <v>570.22</v>
      </c>
      <c r="D27" s="88">
        <f t="shared" si="0"/>
        <v>1.5562042667396768E-3</v>
      </c>
      <c r="E27" s="53"/>
    </row>
    <row r="28" spans="1:5" ht="15.75" customHeight="1" x14ac:dyDescent="0.3">
      <c r="C28" s="95">
        <v>577.59</v>
      </c>
      <c r="D28" s="88">
        <f t="shared" si="0"/>
        <v>1.4501153979913322E-2</v>
      </c>
      <c r="E28" s="53"/>
    </row>
    <row r="29" spans="1:5" ht="15.75" customHeight="1" x14ac:dyDescent="0.3">
      <c r="C29" s="95">
        <v>570.17999999999995</v>
      </c>
      <c r="D29" s="88">
        <f t="shared" si="0"/>
        <v>1.4859467377670926E-3</v>
      </c>
      <c r="E29" s="53"/>
    </row>
    <row r="30" spans="1:5" ht="15.75" customHeight="1" x14ac:dyDescent="0.3">
      <c r="C30" s="95">
        <v>569.12</v>
      </c>
      <c r="D30" s="88">
        <f t="shared" si="0"/>
        <v>-3.7587778000269692E-4</v>
      </c>
      <c r="E30" s="53"/>
    </row>
    <row r="31" spans="1:5" ht="15.75" customHeight="1" x14ac:dyDescent="0.3">
      <c r="C31" s="95">
        <v>559.92999999999995</v>
      </c>
      <c r="D31" s="88">
        <f t="shared" si="0"/>
        <v>-1.6517545061422837E-2</v>
      </c>
      <c r="E31" s="53"/>
    </row>
    <row r="32" spans="1:5" ht="15.75" customHeight="1" x14ac:dyDescent="0.3">
      <c r="C32" s="95">
        <v>569.30999999999995</v>
      </c>
      <c r="D32" s="88">
        <f t="shared" si="0"/>
        <v>-4.2154517383670381E-5</v>
      </c>
      <c r="E32" s="53"/>
    </row>
    <row r="33" spans="1:7" ht="15.75" customHeight="1" x14ac:dyDescent="0.3">
      <c r="C33" s="95">
        <v>571.89</v>
      </c>
      <c r="D33" s="88">
        <f t="shared" si="0"/>
        <v>4.4894561013393303E-3</v>
      </c>
      <c r="E33" s="53"/>
    </row>
    <row r="34" spans="1:7" ht="15.75" customHeight="1" x14ac:dyDescent="0.3">
      <c r="C34" s="95">
        <v>575.44000000000005</v>
      </c>
      <c r="D34" s="88">
        <f t="shared" si="0"/>
        <v>1.0724811797644253E-2</v>
      </c>
      <c r="E34" s="53"/>
    </row>
    <row r="35" spans="1:7" ht="15.75" customHeight="1" x14ac:dyDescent="0.3">
      <c r="C35" s="95">
        <v>570.97</v>
      </c>
      <c r="D35" s="88">
        <f t="shared" si="0"/>
        <v>2.8735329349730862E-3</v>
      </c>
      <c r="E35" s="53"/>
    </row>
    <row r="36" spans="1:7" ht="15.75" customHeight="1" x14ac:dyDescent="0.3">
      <c r="C36" s="95">
        <v>567.51</v>
      </c>
      <c r="D36" s="88">
        <f t="shared" si="0"/>
        <v>-3.2037433211437732E-3</v>
      </c>
      <c r="E36" s="53"/>
    </row>
    <row r="37" spans="1:7" ht="15.75" customHeight="1" x14ac:dyDescent="0.3">
      <c r="C37" s="95">
        <v>568.76</v>
      </c>
      <c r="D37" s="88">
        <f t="shared" si="0"/>
        <v>-1.0081955407547575E-3</v>
      </c>
      <c r="E37" s="53"/>
    </row>
    <row r="38" spans="1:7" ht="15.75" customHeight="1" x14ac:dyDescent="0.3">
      <c r="C38" s="95">
        <v>575.12</v>
      </c>
      <c r="D38" s="88">
        <f t="shared" si="0"/>
        <v>1.0162751565864579E-2</v>
      </c>
      <c r="E38" s="53"/>
    </row>
    <row r="39" spans="1:7" ht="15.75" customHeight="1" x14ac:dyDescent="0.3">
      <c r="C39" s="95">
        <v>563.47</v>
      </c>
      <c r="D39" s="88">
        <f t="shared" si="0"/>
        <v>-1.0299753747361008E-2</v>
      </c>
      <c r="E39" s="53"/>
    </row>
    <row r="40" spans="1:7" ht="15.75" customHeight="1" x14ac:dyDescent="0.3">
      <c r="C40" s="95">
        <v>568.9</v>
      </c>
      <c r="D40" s="88">
        <f t="shared" si="0"/>
        <v>-7.6229418935121163E-4</v>
      </c>
      <c r="E40" s="53"/>
    </row>
    <row r="41" spans="1:7" ht="15.75" customHeight="1" x14ac:dyDescent="0.3">
      <c r="C41" s="95">
        <v>557.75</v>
      </c>
      <c r="D41" s="88">
        <f t="shared" si="0"/>
        <v>-2.0346580390421191E-2</v>
      </c>
      <c r="E41" s="53"/>
    </row>
    <row r="42" spans="1:7" ht="15.75" customHeight="1" x14ac:dyDescent="0.3">
      <c r="C42" s="95">
        <v>565.84</v>
      </c>
      <c r="D42" s="88">
        <f t="shared" si="0"/>
        <v>-6.1369951557434261E-3</v>
      </c>
      <c r="E42" s="53"/>
    </row>
    <row r="43" spans="1:7" ht="16.5" customHeight="1" x14ac:dyDescent="0.3">
      <c r="C43" s="96">
        <v>566.59</v>
      </c>
      <c r="D43" s="89">
        <f t="shared" si="0"/>
        <v>-4.819666487510017E-3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11386.68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569.33400000000006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6">
        <f>C46</f>
        <v>569.33400000000006</v>
      </c>
      <c r="C49" s="93">
        <f>-IF(C46&lt;=80,10%,IF(C46&lt;250,7.5%,5%))</f>
        <v>-0.05</v>
      </c>
      <c r="D49" s="81">
        <f>IF(C46&lt;=80,C46*0.9,IF(C46&lt;250,C46*0.925,C46*0.95))</f>
        <v>540.8673</v>
      </c>
    </row>
    <row r="50" spans="1:6" ht="17.25" customHeight="1" x14ac:dyDescent="0.3">
      <c r="B50" s="267"/>
      <c r="C50" s="94">
        <f>IF(C46&lt;=80, 10%, IF(C46&lt;250, 7.5%, 5%))</f>
        <v>0.05</v>
      </c>
      <c r="D50" s="81">
        <f>IF(C46&lt;=80, C46*1.1, IF(C46&lt;250, C46*1.075, C46*1.05))</f>
        <v>597.80070000000012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30" style="98" customWidth="1"/>
    <col min="9" max="9" width="30.28515625" style="98" hidden="1" customWidth="1"/>
    <col min="10" max="10" width="30.42578125" style="98" customWidth="1"/>
    <col min="11" max="11" width="21.28515625" style="98" customWidth="1"/>
    <col min="12" max="12" width="9.140625" style="98"/>
    <col min="13" max="16384" width="9.140625" style="100"/>
  </cols>
  <sheetData>
    <row r="1" spans="1:9" ht="18.75" customHeight="1" x14ac:dyDescent="0.25">
      <c r="A1" s="307" t="s">
        <v>45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46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99"/>
    </row>
    <row r="16" spans="1:9" ht="19.5" customHeight="1" thickBot="1" x14ac:dyDescent="0.35">
      <c r="A16" s="309" t="s">
        <v>31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47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101" t="s">
        <v>33</v>
      </c>
      <c r="B18" s="305" t="s">
        <v>125</v>
      </c>
      <c r="C18" s="305"/>
      <c r="D18" s="102"/>
      <c r="E18" s="103"/>
      <c r="F18" s="104"/>
      <c r="G18" s="104"/>
      <c r="H18" s="104"/>
    </row>
    <row r="19" spans="1:14" ht="26.25" customHeight="1" x14ac:dyDescent="0.4">
      <c r="A19" s="101" t="s">
        <v>34</v>
      </c>
      <c r="B19" s="105" t="s">
        <v>7</v>
      </c>
      <c r="C19" s="104">
        <v>29</v>
      </c>
      <c r="D19" s="104"/>
      <c r="E19" s="104"/>
      <c r="F19" s="104"/>
      <c r="G19" s="104"/>
      <c r="H19" s="104"/>
    </row>
    <row r="20" spans="1:14" ht="26.25" customHeight="1" x14ac:dyDescent="0.4">
      <c r="A20" s="101" t="s">
        <v>35</v>
      </c>
      <c r="B20" s="304" t="s">
        <v>126</v>
      </c>
      <c r="C20" s="304"/>
      <c r="D20" s="104"/>
      <c r="E20" s="104"/>
      <c r="F20" s="104"/>
      <c r="G20" s="104"/>
      <c r="H20" s="104"/>
    </row>
    <row r="21" spans="1:14" ht="26.25" customHeight="1" x14ac:dyDescent="0.4">
      <c r="A21" s="101" t="s">
        <v>36</v>
      </c>
      <c r="B21" s="304" t="s">
        <v>127</v>
      </c>
      <c r="C21" s="304"/>
      <c r="D21" s="304"/>
      <c r="E21" s="304"/>
      <c r="F21" s="304"/>
      <c r="G21" s="304"/>
      <c r="H21" s="304"/>
      <c r="I21" s="106"/>
    </row>
    <row r="22" spans="1:14" ht="26.25" customHeight="1" x14ac:dyDescent="0.4">
      <c r="A22" s="101" t="s">
        <v>37</v>
      </c>
      <c r="B22" s="107">
        <v>42531.493668981479</v>
      </c>
      <c r="C22" s="104"/>
      <c r="D22" s="104"/>
      <c r="E22" s="104"/>
      <c r="F22" s="104"/>
      <c r="G22" s="104"/>
      <c r="H22" s="104"/>
    </row>
    <row r="23" spans="1:14" ht="26.25" customHeight="1" x14ac:dyDescent="0.4">
      <c r="A23" s="101" t="s">
        <v>38</v>
      </c>
      <c r="B23" s="107">
        <v>42535.41033564815</v>
      </c>
      <c r="C23" s="104"/>
      <c r="D23" s="104"/>
      <c r="E23" s="104"/>
      <c r="F23" s="104"/>
      <c r="G23" s="104"/>
      <c r="H23" s="104"/>
    </row>
    <row r="24" spans="1:14" ht="18.75" x14ac:dyDescent="0.3">
      <c r="A24" s="101"/>
      <c r="B24" s="108"/>
    </row>
    <row r="25" spans="1:14" ht="18.75" x14ac:dyDescent="0.3">
      <c r="A25" s="109" t="s">
        <v>1</v>
      </c>
      <c r="B25" s="108"/>
    </row>
    <row r="26" spans="1:14" ht="26.25" customHeight="1" x14ac:dyDescent="0.4">
      <c r="A26" s="110" t="s">
        <v>4</v>
      </c>
      <c r="B26" s="305" t="s">
        <v>9</v>
      </c>
      <c r="C26" s="305"/>
    </row>
    <row r="27" spans="1:14" ht="26.25" customHeight="1" x14ac:dyDescent="0.4">
      <c r="A27" s="111" t="s">
        <v>48</v>
      </c>
      <c r="B27" s="306" t="s">
        <v>128</v>
      </c>
      <c r="C27" s="306"/>
    </row>
    <row r="28" spans="1:14" ht="27" customHeight="1" thickBot="1" x14ac:dyDescent="0.45">
      <c r="A28" s="111" t="s">
        <v>6</v>
      </c>
      <c r="B28" s="112">
        <v>99.5</v>
      </c>
    </row>
    <row r="29" spans="1:14" s="114" customFormat="1" ht="27" customHeight="1" thickBot="1" x14ac:dyDescent="0.45">
      <c r="A29" s="111" t="s">
        <v>49</v>
      </c>
      <c r="B29" s="113">
        <v>0</v>
      </c>
      <c r="C29" s="284" t="s">
        <v>50</v>
      </c>
      <c r="D29" s="285"/>
      <c r="E29" s="285"/>
      <c r="F29" s="285"/>
      <c r="G29" s="286"/>
      <c r="I29" s="115"/>
      <c r="J29" s="115"/>
      <c r="K29" s="115"/>
      <c r="L29" s="115"/>
    </row>
    <row r="30" spans="1:14" s="114" customFormat="1" ht="19.5" customHeight="1" thickBot="1" x14ac:dyDescent="0.35">
      <c r="A30" s="111" t="s">
        <v>51</v>
      </c>
      <c r="B30" s="116">
        <f>B28-B29</f>
        <v>99.5</v>
      </c>
      <c r="C30" s="117"/>
      <c r="D30" s="117"/>
      <c r="E30" s="117"/>
      <c r="F30" s="117"/>
      <c r="G30" s="118"/>
      <c r="I30" s="115"/>
      <c r="J30" s="115"/>
      <c r="K30" s="115"/>
      <c r="L30" s="115"/>
    </row>
    <row r="31" spans="1:14" s="114" customFormat="1" ht="27" customHeight="1" thickBot="1" x14ac:dyDescent="0.45">
      <c r="A31" s="111" t="s">
        <v>52</v>
      </c>
      <c r="B31" s="119">
        <v>1</v>
      </c>
      <c r="C31" s="287" t="s">
        <v>53</v>
      </c>
      <c r="D31" s="288"/>
      <c r="E31" s="288"/>
      <c r="F31" s="288"/>
      <c r="G31" s="288"/>
      <c r="H31" s="289"/>
      <c r="I31" s="115"/>
      <c r="J31" s="115"/>
      <c r="K31" s="115"/>
      <c r="L31" s="115"/>
    </row>
    <row r="32" spans="1:14" s="114" customFormat="1" ht="27" customHeight="1" thickBot="1" x14ac:dyDescent="0.45">
      <c r="A32" s="111" t="s">
        <v>54</v>
      </c>
      <c r="B32" s="119">
        <v>1</v>
      </c>
      <c r="C32" s="287" t="s">
        <v>55</v>
      </c>
      <c r="D32" s="288"/>
      <c r="E32" s="288"/>
      <c r="F32" s="288"/>
      <c r="G32" s="288"/>
      <c r="H32" s="289"/>
      <c r="I32" s="115"/>
      <c r="J32" s="115"/>
      <c r="K32" s="115"/>
      <c r="L32" s="120"/>
      <c r="M32" s="120"/>
      <c r="N32" s="121"/>
    </row>
    <row r="33" spans="1:14" s="114" customFormat="1" ht="17.25" customHeight="1" x14ac:dyDescent="0.3">
      <c r="A33" s="111"/>
      <c r="B33" s="122"/>
      <c r="C33" s="123"/>
      <c r="D33" s="123"/>
      <c r="E33" s="123"/>
      <c r="F33" s="123"/>
      <c r="G33" s="123"/>
      <c r="H33" s="123"/>
      <c r="I33" s="115"/>
      <c r="J33" s="115"/>
      <c r="K33" s="115"/>
      <c r="L33" s="120"/>
      <c r="M33" s="120"/>
      <c r="N33" s="121"/>
    </row>
    <row r="34" spans="1:14" s="114" customFormat="1" ht="18.75" x14ac:dyDescent="0.3">
      <c r="A34" s="111" t="s">
        <v>56</v>
      </c>
      <c r="B34" s="124">
        <f>B31/B32</f>
        <v>1</v>
      </c>
      <c r="C34" s="99" t="s">
        <v>57</v>
      </c>
      <c r="D34" s="99"/>
      <c r="E34" s="99"/>
      <c r="F34" s="99"/>
      <c r="G34" s="99"/>
      <c r="I34" s="115"/>
      <c r="J34" s="115"/>
      <c r="K34" s="115"/>
      <c r="L34" s="120"/>
      <c r="M34" s="120"/>
      <c r="N34" s="121"/>
    </row>
    <row r="35" spans="1:14" s="114" customFormat="1" ht="19.5" customHeight="1" thickBot="1" x14ac:dyDescent="0.35">
      <c r="A35" s="111"/>
      <c r="B35" s="116"/>
      <c r="G35" s="99"/>
      <c r="I35" s="115"/>
      <c r="J35" s="115"/>
      <c r="K35" s="115"/>
      <c r="L35" s="120"/>
      <c r="M35" s="120"/>
      <c r="N35" s="121"/>
    </row>
    <row r="36" spans="1:14" s="114" customFormat="1" ht="27" customHeight="1" thickBot="1" x14ac:dyDescent="0.45">
      <c r="A36" s="125" t="s">
        <v>58</v>
      </c>
      <c r="B36" s="126">
        <v>100</v>
      </c>
      <c r="C36" s="99"/>
      <c r="D36" s="290" t="s">
        <v>59</v>
      </c>
      <c r="E36" s="303"/>
      <c r="F36" s="290" t="s">
        <v>60</v>
      </c>
      <c r="G36" s="291"/>
      <c r="J36" s="115"/>
      <c r="K36" s="115"/>
      <c r="L36" s="120"/>
      <c r="M36" s="120"/>
      <c r="N36" s="121"/>
    </row>
    <row r="37" spans="1:14" s="114" customFormat="1" ht="27" customHeight="1" thickBot="1" x14ac:dyDescent="0.45">
      <c r="A37" s="127" t="s">
        <v>61</v>
      </c>
      <c r="B37" s="128">
        <v>1</v>
      </c>
      <c r="C37" s="129" t="s">
        <v>62</v>
      </c>
      <c r="D37" s="130" t="s">
        <v>63</v>
      </c>
      <c r="E37" s="131" t="s">
        <v>64</v>
      </c>
      <c r="F37" s="130" t="s">
        <v>63</v>
      </c>
      <c r="G37" s="132" t="s">
        <v>64</v>
      </c>
      <c r="I37" s="133" t="s">
        <v>65</v>
      </c>
      <c r="J37" s="115"/>
      <c r="K37" s="115"/>
      <c r="L37" s="120"/>
      <c r="M37" s="120"/>
      <c r="N37" s="121"/>
    </row>
    <row r="38" spans="1:14" s="114" customFormat="1" ht="26.25" customHeight="1" x14ac:dyDescent="0.4">
      <c r="A38" s="127" t="s">
        <v>66</v>
      </c>
      <c r="B38" s="128">
        <v>1</v>
      </c>
      <c r="C38" s="134">
        <v>1</v>
      </c>
      <c r="D38" s="135">
        <v>17305214</v>
      </c>
      <c r="E38" s="136">
        <f>IF(ISBLANK(D38),"-",$D$48/$D$45*D38)</f>
        <v>17563727.562188588</v>
      </c>
      <c r="F38" s="135">
        <v>16352129</v>
      </c>
      <c r="G38" s="137">
        <f>IF(ISBLANK(F38),"-",$D$48/$F$45*F38)</f>
        <v>17316219.593433965</v>
      </c>
      <c r="I38" s="138"/>
      <c r="J38" s="115"/>
      <c r="K38" s="115"/>
      <c r="L38" s="120"/>
      <c r="M38" s="120"/>
      <c r="N38" s="121"/>
    </row>
    <row r="39" spans="1:14" s="114" customFormat="1" ht="26.25" customHeight="1" x14ac:dyDescent="0.4">
      <c r="A39" s="127" t="s">
        <v>67</v>
      </c>
      <c r="B39" s="128">
        <v>1</v>
      </c>
      <c r="C39" s="139">
        <v>2</v>
      </c>
      <c r="D39" s="140">
        <v>17308607</v>
      </c>
      <c r="E39" s="141">
        <f>IF(ISBLANK(D39),"-",$D$48/$D$45*D39)</f>
        <v>17567171.248445138</v>
      </c>
      <c r="F39" s="140">
        <v>16344361</v>
      </c>
      <c r="G39" s="142">
        <f>IF(ISBLANK(F39),"-",$D$48/$F$45*F39)</f>
        <v>17307993.606848255</v>
      </c>
      <c r="I39" s="274">
        <f>ABS((F43/D43*D42)-F42)/D42</f>
        <v>1.4076816126632278E-2</v>
      </c>
      <c r="J39" s="115"/>
      <c r="K39" s="115"/>
      <c r="L39" s="120"/>
      <c r="M39" s="120"/>
      <c r="N39" s="121"/>
    </row>
    <row r="40" spans="1:14" ht="26.25" customHeight="1" x14ac:dyDescent="0.4">
      <c r="A40" s="127" t="s">
        <v>68</v>
      </c>
      <c r="B40" s="128">
        <v>1</v>
      </c>
      <c r="C40" s="139">
        <v>3</v>
      </c>
      <c r="D40" s="140">
        <v>17305011</v>
      </c>
      <c r="E40" s="141">
        <f>IF(ISBLANK(D40),"-",$D$48/$D$45*D40)</f>
        <v>17563521.52967751</v>
      </c>
      <c r="F40" s="140">
        <v>16333286</v>
      </c>
      <c r="G40" s="142">
        <f>IF(ISBLANK(F40),"-",$D$48/$F$45*F40)</f>
        <v>17296265.645798214</v>
      </c>
      <c r="I40" s="274"/>
      <c r="L40" s="120"/>
      <c r="M40" s="120"/>
      <c r="N40" s="99"/>
    </row>
    <row r="41" spans="1:14" ht="27" customHeight="1" thickBot="1" x14ac:dyDescent="0.45">
      <c r="A41" s="127" t="s">
        <v>69</v>
      </c>
      <c r="B41" s="128">
        <v>1</v>
      </c>
      <c r="C41" s="143">
        <v>4</v>
      </c>
      <c r="D41" s="144"/>
      <c r="E41" s="145" t="str">
        <f>IF(ISBLANK(D41),"-",$D$48/$D$45*D41)</f>
        <v>-</v>
      </c>
      <c r="F41" s="144"/>
      <c r="G41" s="146" t="str">
        <f>IF(ISBLANK(F41),"-",$D$48/$F$45*F41)</f>
        <v>-</v>
      </c>
      <c r="I41" s="147"/>
      <c r="L41" s="120"/>
      <c r="M41" s="120"/>
      <c r="N41" s="99"/>
    </row>
    <row r="42" spans="1:14" ht="27" customHeight="1" thickBot="1" x14ac:dyDescent="0.45">
      <c r="A42" s="127" t="s">
        <v>70</v>
      </c>
      <c r="B42" s="128">
        <v>1</v>
      </c>
      <c r="C42" s="148" t="s">
        <v>71</v>
      </c>
      <c r="D42" s="149">
        <f>AVERAGE(D38:D41)</f>
        <v>17306277.333333332</v>
      </c>
      <c r="E42" s="150">
        <f>AVERAGE(E38:E41)</f>
        <v>17564806.780103747</v>
      </c>
      <c r="F42" s="149">
        <f>AVERAGE(F38:F41)</f>
        <v>16343258.666666666</v>
      </c>
      <c r="G42" s="151">
        <f>AVERAGE(G38:G41)</f>
        <v>17306826.282026809</v>
      </c>
      <c r="H42" s="152"/>
    </row>
    <row r="43" spans="1:14" ht="26.25" customHeight="1" x14ac:dyDescent="0.4">
      <c r="A43" s="127" t="s">
        <v>72</v>
      </c>
      <c r="B43" s="128">
        <v>1</v>
      </c>
      <c r="C43" s="153" t="s">
        <v>73</v>
      </c>
      <c r="D43" s="154">
        <v>42.58</v>
      </c>
      <c r="E43" s="99"/>
      <c r="F43" s="154">
        <v>40.81</v>
      </c>
      <c r="H43" s="152"/>
    </row>
    <row r="44" spans="1:14" ht="26.25" customHeight="1" x14ac:dyDescent="0.4">
      <c r="A44" s="127" t="s">
        <v>74</v>
      </c>
      <c r="B44" s="128">
        <v>1</v>
      </c>
      <c r="C44" s="155" t="s">
        <v>75</v>
      </c>
      <c r="D44" s="156">
        <f>D43*$B$34</f>
        <v>42.58</v>
      </c>
      <c r="E44" s="157"/>
      <c r="F44" s="156">
        <f>F43*$B$34</f>
        <v>40.81</v>
      </c>
      <c r="H44" s="152"/>
    </row>
    <row r="45" spans="1:14" ht="19.5" customHeight="1" thickBot="1" x14ac:dyDescent="0.35">
      <c r="A45" s="127" t="s">
        <v>76</v>
      </c>
      <c r="B45" s="139">
        <f>(B44/B43)*(B42/B41)*(B40/B39)*(B38/B37)*B36</f>
        <v>100</v>
      </c>
      <c r="C45" s="155" t="s">
        <v>77</v>
      </c>
      <c r="D45" s="158">
        <f>D44*$B$30/100</f>
        <v>42.367100000000001</v>
      </c>
      <c r="E45" s="159"/>
      <c r="F45" s="158">
        <f>F44*$B$30/100</f>
        <v>40.60595</v>
      </c>
      <c r="H45" s="152"/>
    </row>
    <row r="46" spans="1:14" ht="19.5" customHeight="1" thickBot="1" x14ac:dyDescent="0.35">
      <c r="A46" s="275" t="s">
        <v>78</v>
      </c>
      <c r="B46" s="279"/>
      <c r="C46" s="155" t="s">
        <v>79</v>
      </c>
      <c r="D46" s="160">
        <f>D45/$B$45</f>
        <v>0.42367100000000002</v>
      </c>
      <c r="E46" s="161"/>
      <c r="F46" s="162">
        <f>F45/$B$45</f>
        <v>0.40605950000000002</v>
      </c>
      <c r="H46" s="152"/>
    </row>
    <row r="47" spans="1:14" ht="27" customHeight="1" thickBot="1" x14ac:dyDescent="0.45">
      <c r="A47" s="277"/>
      <c r="B47" s="280"/>
      <c r="C47" s="163" t="s">
        <v>80</v>
      </c>
      <c r="D47" s="164">
        <v>0.43</v>
      </c>
      <c r="E47" s="165"/>
      <c r="F47" s="161"/>
      <c r="H47" s="152"/>
    </row>
    <row r="48" spans="1:14" ht="18.75" x14ac:dyDescent="0.3">
      <c r="C48" s="166" t="s">
        <v>81</v>
      </c>
      <c r="D48" s="158">
        <f>D47*$B$45</f>
        <v>43</v>
      </c>
      <c r="F48" s="167"/>
      <c r="H48" s="152"/>
    </row>
    <row r="49" spans="1:12" ht="19.5" customHeight="1" thickBot="1" x14ac:dyDescent="0.35">
      <c r="C49" s="168" t="s">
        <v>82</v>
      </c>
      <c r="D49" s="169">
        <f>D48/B34</f>
        <v>43</v>
      </c>
      <c r="F49" s="167"/>
      <c r="H49" s="152"/>
    </row>
    <row r="50" spans="1:12" ht="18.75" x14ac:dyDescent="0.3">
      <c r="C50" s="125" t="s">
        <v>83</v>
      </c>
      <c r="D50" s="170">
        <f>AVERAGE(E38:E41,G38:G41)</f>
        <v>17435816.531065281</v>
      </c>
      <c r="F50" s="171"/>
      <c r="H50" s="152"/>
    </row>
    <row r="51" spans="1:12" ht="18.75" x14ac:dyDescent="0.3">
      <c r="C51" s="127" t="s">
        <v>84</v>
      </c>
      <c r="D51" s="172">
        <f>STDEV(E38:E41,G38:G41)/D50</f>
        <v>8.1126081261675628E-3</v>
      </c>
      <c r="F51" s="171"/>
      <c r="H51" s="152"/>
    </row>
    <row r="52" spans="1:12" ht="19.5" customHeight="1" thickBot="1" x14ac:dyDescent="0.35">
      <c r="C52" s="173" t="s">
        <v>20</v>
      </c>
      <c r="D52" s="174">
        <f>COUNT(E38:E41,G38:G41)</f>
        <v>6</v>
      </c>
      <c r="F52" s="171"/>
    </row>
    <row r="54" spans="1:12" ht="18.75" x14ac:dyDescent="0.3">
      <c r="A54" s="175" t="s">
        <v>1</v>
      </c>
      <c r="B54" s="176" t="s">
        <v>85</v>
      </c>
    </row>
    <row r="55" spans="1:12" ht="18.75" x14ac:dyDescent="0.3">
      <c r="A55" s="99" t="s">
        <v>86</v>
      </c>
      <c r="B55" s="177" t="str">
        <f>B21</f>
        <v xml:space="preserve">Rifampicin 60mg, Isoniazid 30mg, Pyrazinamide 150mg 
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 xml:space="preserve">Rifampicin, Isoniazid, Pyrazinamide 
</v>
      </c>
      <c r="H56" s="157"/>
    </row>
    <row r="57" spans="1:12" ht="18.75" x14ac:dyDescent="0.3">
      <c r="A57" s="177" t="s">
        <v>88</v>
      </c>
      <c r="B57" s="179">
        <f>[1]Uniformity!C46</f>
        <v>569.99199999999985</v>
      </c>
      <c r="H57" s="157"/>
    </row>
    <row r="58" spans="1:12" ht="19.5" customHeight="1" thickBot="1" x14ac:dyDescent="0.35">
      <c r="H58" s="157"/>
    </row>
    <row r="59" spans="1:12" s="114" customFormat="1" ht="27" customHeight="1" thickBot="1" x14ac:dyDescent="0.45">
      <c r="A59" s="125" t="s">
        <v>89</v>
      </c>
      <c r="B59" s="126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9" t="s">
        <v>92</v>
      </c>
      <c r="L59" s="115"/>
    </row>
    <row r="60" spans="1:12" s="114" customFormat="1" ht="26.25" customHeight="1" x14ac:dyDescent="0.4">
      <c r="A60" s="127" t="s">
        <v>93</v>
      </c>
      <c r="B60" s="128">
        <v>1</v>
      </c>
      <c r="C60" s="292" t="s">
        <v>94</v>
      </c>
      <c r="D60" s="295">
        <v>45.71</v>
      </c>
      <c r="E60" s="182">
        <v>1</v>
      </c>
      <c r="F60" s="183">
        <v>15905048</v>
      </c>
      <c r="G60" s="184">
        <f>IF(ISBLANK(F60),"-",(F60/$D$50*$D$47*$B$68)*($B$57/$D$60))</f>
        <v>489.12367920654157</v>
      </c>
      <c r="H60" s="185">
        <f t="shared" ref="H60:H71" si="0">IF(ISBLANK(F60),"-",G60/$B$56)</f>
        <v>0.97824735841308308</v>
      </c>
      <c r="L60" s="115"/>
    </row>
    <row r="61" spans="1:12" s="114" customFormat="1" ht="26.25" customHeight="1" x14ac:dyDescent="0.4">
      <c r="A61" s="127" t="s">
        <v>95</v>
      </c>
      <c r="B61" s="128">
        <v>1</v>
      </c>
      <c r="C61" s="293"/>
      <c r="D61" s="296"/>
      <c r="E61" s="186">
        <v>2</v>
      </c>
      <c r="F61" s="140">
        <v>15887010</v>
      </c>
      <c r="G61" s="187">
        <f>IF(ISBLANK(F61),"-",(F61/$D$50*$D$47*$B$68)*($B$57/$D$60))</f>
        <v>488.56896142602761</v>
      </c>
      <c r="H61" s="188">
        <f t="shared" si="0"/>
        <v>0.97713792285205525</v>
      </c>
      <c r="L61" s="115"/>
    </row>
    <row r="62" spans="1:12" s="114" customFormat="1" ht="26.25" customHeight="1" x14ac:dyDescent="0.4">
      <c r="A62" s="127" t="s">
        <v>96</v>
      </c>
      <c r="B62" s="128">
        <v>1</v>
      </c>
      <c r="C62" s="293"/>
      <c r="D62" s="296"/>
      <c r="E62" s="186">
        <v>3</v>
      </c>
      <c r="F62" s="189">
        <v>15901333</v>
      </c>
      <c r="G62" s="187">
        <f>IF(ISBLANK(F62),"-",(F62/$D$50*$D$47*$B$68)*($B$57/$D$60))</f>
        <v>489.00943280701784</v>
      </c>
      <c r="H62" s="188">
        <f t="shared" si="0"/>
        <v>0.97801886561403573</v>
      </c>
      <c r="L62" s="115"/>
    </row>
    <row r="63" spans="1:12" ht="27" customHeight="1" thickBot="1" x14ac:dyDescent="0.45">
      <c r="A63" s="127" t="s">
        <v>97</v>
      </c>
      <c r="B63" s="128">
        <v>1</v>
      </c>
      <c r="C63" s="294"/>
      <c r="D63" s="297"/>
      <c r="E63" s="190">
        <v>4</v>
      </c>
      <c r="F63" s="191"/>
      <c r="G63" s="187" t="str">
        <f>IF(ISBLANK(F63),"-",(F63/$D$50*$D$47*$B$68)*($B$57/$D$60))</f>
        <v>-</v>
      </c>
      <c r="H63" s="188" t="str">
        <f t="shared" si="0"/>
        <v>-</v>
      </c>
    </row>
    <row r="64" spans="1:12" ht="26.25" customHeight="1" x14ac:dyDescent="0.4">
      <c r="A64" s="127" t="s">
        <v>98</v>
      </c>
      <c r="B64" s="128">
        <v>1</v>
      </c>
      <c r="C64" s="292" t="s">
        <v>99</v>
      </c>
      <c r="D64" s="295">
        <v>45.8</v>
      </c>
      <c r="E64" s="182">
        <v>1</v>
      </c>
      <c r="F64" s="183">
        <v>15772900</v>
      </c>
      <c r="G64" s="192">
        <f>IF(ISBLANK(F64),"-",(F64/$D$50*$D$47*$B$68)*($B$57/$D$64))</f>
        <v>484.10659295812349</v>
      </c>
      <c r="H64" s="193">
        <f t="shared" si="0"/>
        <v>0.96821318591624694</v>
      </c>
    </row>
    <row r="65" spans="1:8" ht="26.25" customHeight="1" x14ac:dyDescent="0.4">
      <c r="A65" s="127" t="s">
        <v>100</v>
      </c>
      <c r="B65" s="128">
        <v>1</v>
      </c>
      <c r="C65" s="293"/>
      <c r="D65" s="296"/>
      <c r="E65" s="186">
        <v>2</v>
      </c>
      <c r="F65" s="140">
        <v>15714917</v>
      </c>
      <c r="G65" s="194">
        <f>IF(ISBLANK(F65),"-",(F65/$D$50*$D$47*$B$68)*($B$57/$D$64))</f>
        <v>482.32696127469876</v>
      </c>
      <c r="H65" s="195">
        <f t="shared" si="0"/>
        <v>0.96465392254939752</v>
      </c>
    </row>
    <row r="66" spans="1:8" ht="26.25" customHeight="1" x14ac:dyDescent="0.4">
      <c r="A66" s="127" t="s">
        <v>101</v>
      </c>
      <c r="B66" s="128">
        <v>1</v>
      </c>
      <c r="C66" s="293"/>
      <c r="D66" s="296"/>
      <c r="E66" s="186">
        <v>3</v>
      </c>
      <c r="F66" s="140">
        <v>15743193</v>
      </c>
      <c r="G66" s="194">
        <f>IF(ISBLANK(F66),"-",(F66/$D$50*$D$47*$B$68)*($B$57/$D$64))</f>
        <v>483.19481677511294</v>
      </c>
      <c r="H66" s="195">
        <f t="shared" si="0"/>
        <v>0.96638963355022589</v>
      </c>
    </row>
    <row r="67" spans="1:8" ht="27" customHeight="1" thickBot="1" x14ac:dyDescent="0.45">
      <c r="A67" s="127" t="s">
        <v>102</v>
      </c>
      <c r="B67" s="128">
        <v>1</v>
      </c>
      <c r="C67" s="294"/>
      <c r="D67" s="297"/>
      <c r="E67" s="190">
        <v>4</v>
      </c>
      <c r="F67" s="191"/>
      <c r="G67" s="196" t="str">
        <f>IF(ISBLANK(F67),"-",(F67/$D$50*$D$47*$B$68)*($B$57/$D$64))</f>
        <v>-</v>
      </c>
      <c r="H67" s="197" t="str">
        <f t="shared" si="0"/>
        <v>-</v>
      </c>
    </row>
    <row r="68" spans="1:8" ht="26.25" customHeight="1" x14ac:dyDescent="0.4">
      <c r="A68" s="127" t="s">
        <v>103</v>
      </c>
      <c r="B68" s="198">
        <f>(B67/B66)*(B65/B64)*(B63/B62)*(B61/B60)*B59</f>
        <v>100</v>
      </c>
      <c r="C68" s="292" t="s">
        <v>104</v>
      </c>
      <c r="D68" s="295">
        <v>45.91</v>
      </c>
      <c r="E68" s="182">
        <v>1</v>
      </c>
      <c r="F68" s="183"/>
      <c r="G68" s="192" t="str">
        <f>IF(ISBLANK(F68),"-",(F68/$D$50*$D$47*$B$68)*($B$57/$D$68))</f>
        <v>-</v>
      </c>
      <c r="H68" s="188" t="str">
        <f t="shared" si="0"/>
        <v>-</v>
      </c>
    </row>
    <row r="69" spans="1:8" ht="27" customHeight="1" thickBot="1" x14ac:dyDescent="0.45">
      <c r="A69" s="173" t="s">
        <v>105</v>
      </c>
      <c r="B69" s="199">
        <f>(D47*B68)/B56*B57</f>
        <v>49.019311999999985</v>
      </c>
      <c r="C69" s="293"/>
      <c r="D69" s="296"/>
      <c r="E69" s="186">
        <v>2</v>
      </c>
      <c r="F69" s="140">
        <v>15744489</v>
      </c>
      <c r="G69" s="194">
        <f>IF(ISBLANK(F69),"-",(F69/$D$50*$D$47*$B$68)*($B$57/$D$68))</f>
        <v>482.07676769911967</v>
      </c>
      <c r="H69" s="188">
        <f t="shared" si="0"/>
        <v>0.96415353539823934</v>
      </c>
    </row>
    <row r="70" spans="1:8" ht="26.25" customHeight="1" x14ac:dyDescent="0.4">
      <c r="A70" s="299" t="s">
        <v>78</v>
      </c>
      <c r="B70" s="300"/>
      <c r="C70" s="293"/>
      <c r="D70" s="296"/>
      <c r="E70" s="186">
        <v>3</v>
      </c>
      <c r="F70" s="140">
        <v>15751625</v>
      </c>
      <c r="G70" s="194">
        <f>IF(ISBLANK(F70),"-",(F70/$D$50*$D$47*$B$68)*($B$57/$D$68))</f>
        <v>482.29526318756018</v>
      </c>
      <c r="H70" s="188">
        <f t="shared" si="0"/>
        <v>0.96459052637512033</v>
      </c>
    </row>
    <row r="71" spans="1:8" ht="27" customHeight="1" thickBot="1" x14ac:dyDescent="0.45">
      <c r="A71" s="301"/>
      <c r="B71" s="302"/>
      <c r="C71" s="298"/>
      <c r="D71" s="297"/>
      <c r="E71" s="190">
        <v>4</v>
      </c>
      <c r="F71" s="191"/>
      <c r="G71" s="196" t="str">
        <f>IF(ISBLANK(F71),"-",(F71/$D$50*$D$47*$B$68)*($B$57/$D$68))</f>
        <v>-</v>
      </c>
      <c r="H71" s="200" t="str">
        <f t="shared" si="0"/>
        <v>-</v>
      </c>
    </row>
    <row r="72" spans="1:8" ht="26.25" customHeight="1" x14ac:dyDescent="0.4">
      <c r="A72" s="157"/>
      <c r="B72" s="157"/>
      <c r="C72" s="157"/>
      <c r="D72" s="157"/>
      <c r="E72" s="157"/>
      <c r="F72" s="201" t="s">
        <v>71</v>
      </c>
      <c r="G72" s="202">
        <f>AVERAGE(G60:G71)</f>
        <v>485.0878094167752</v>
      </c>
      <c r="H72" s="203">
        <f>AVERAGE(H60:H71)</f>
        <v>0.97017561883355052</v>
      </c>
    </row>
    <row r="73" spans="1:8" ht="26.25" customHeight="1" x14ac:dyDescent="0.4">
      <c r="C73" s="157"/>
      <c r="D73" s="157"/>
      <c r="E73" s="157"/>
      <c r="F73" s="204" t="s">
        <v>84</v>
      </c>
      <c r="G73" s="205">
        <f>STDEV(G60:G71)/G72</f>
        <v>6.6489472289339583E-3</v>
      </c>
      <c r="H73" s="205">
        <f>STDEV(H60:H71)/H72</f>
        <v>6.6489472289339643E-3</v>
      </c>
    </row>
    <row r="74" spans="1:8" ht="27" customHeight="1" thickBot="1" x14ac:dyDescent="0.45">
      <c r="A74" s="157"/>
      <c r="B74" s="157"/>
      <c r="C74" s="157"/>
      <c r="D74" s="157"/>
      <c r="E74" s="159"/>
      <c r="F74" s="206" t="s">
        <v>20</v>
      </c>
      <c r="G74" s="207">
        <f>COUNT(G60:G71)</f>
        <v>8</v>
      </c>
      <c r="H74" s="207">
        <f>COUNT(H60:H71)</f>
        <v>8</v>
      </c>
    </row>
    <row r="76" spans="1:8" ht="26.25" customHeight="1" x14ac:dyDescent="0.4">
      <c r="A76" s="110" t="s">
        <v>106</v>
      </c>
      <c r="B76" s="111" t="s">
        <v>107</v>
      </c>
      <c r="C76" s="281" t="str">
        <f>B20</f>
        <v xml:space="preserve">Rifampicin, Isoniazid, Pyrazinamide 
</v>
      </c>
      <c r="D76" s="281"/>
      <c r="E76" s="99" t="s">
        <v>108</v>
      </c>
      <c r="F76" s="99"/>
      <c r="G76" s="208">
        <f>H72</f>
        <v>0.97017561883355052</v>
      </c>
      <c r="H76" s="116"/>
    </row>
    <row r="77" spans="1:8" ht="18.75" x14ac:dyDescent="0.3">
      <c r="A77" s="109" t="s">
        <v>109</v>
      </c>
      <c r="B77" s="109" t="s">
        <v>110</v>
      </c>
    </row>
    <row r="78" spans="1:8" ht="18.75" x14ac:dyDescent="0.3">
      <c r="A78" s="109"/>
      <c r="B78" s="109"/>
    </row>
    <row r="79" spans="1:8" ht="26.25" customHeight="1" x14ac:dyDescent="0.4">
      <c r="A79" s="110" t="s">
        <v>4</v>
      </c>
      <c r="B79" s="283" t="str">
        <f>B26</f>
        <v>Pyrazinamide</v>
      </c>
      <c r="C79" s="283"/>
    </row>
    <row r="80" spans="1:8" ht="26.25" customHeight="1" x14ac:dyDescent="0.4">
      <c r="A80" s="111" t="s">
        <v>48</v>
      </c>
      <c r="B80" s="283" t="str">
        <f>B27</f>
        <v>P19-1</v>
      </c>
      <c r="C80" s="283"/>
    </row>
    <row r="81" spans="1:12" ht="27" customHeight="1" thickBot="1" x14ac:dyDescent="0.45">
      <c r="A81" s="111" t="s">
        <v>6</v>
      </c>
      <c r="B81" s="112">
        <f>B28</f>
        <v>99.5</v>
      </c>
    </row>
    <row r="82" spans="1:12" s="114" customFormat="1" ht="27" customHeight="1" thickBot="1" x14ac:dyDescent="0.45">
      <c r="A82" s="111" t="s">
        <v>49</v>
      </c>
      <c r="B82" s="113">
        <v>0</v>
      </c>
      <c r="C82" s="284" t="s">
        <v>50</v>
      </c>
      <c r="D82" s="285"/>
      <c r="E82" s="285"/>
      <c r="F82" s="285"/>
      <c r="G82" s="286"/>
      <c r="I82" s="115"/>
      <c r="J82" s="115"/>
      <c r="K82" s="115"/>
      <c r="L82" s="115"/>
    </row>
    <row r="83" spans="1:12" s="114" customFormat="1" ht="19.5" customHeight="1" thickBot="1" x14ac:dyDescent="0.35">
      <c r="A83" s="111" t="s">
        <v>51</v>
      </c>
      <c r="B83" s="116">
        <f>B81-B82</f>
        <v>99.5</v>
      </c>
      <c r="C83" s="117"/>
      <c r="D83" s="117"/>
      <c r="E83" s="117"/>
      <c r="F83" s="117"/>
      <c r="G83" s="118"/>
      <c r="I83" s="115"/>
      <c r="J83" s="115"/>
      <c r="K83" s="115"/>
      <c r="L83" s="115"/>
    </row>
    <row r="84" spans="1:12" s="114" customFormat="1" ht="27" customHeight="1" thickBot="1" x14ac:dyDescent="0.45">
      <c r="A84" s="111" t="s">
        <v>52</v>
      </c>
      <c r="B84" s="119">
        <v>1</v>
      </c>
      <c r="C84" s="287" t="s">
        <v>111</v>
      </c>
      <c r="D84" s="288"/>
      <c r="E84" s="288"/>
      <c r="F84" s="288"/>
      <c r="G84" s="288"/>
      <c r="H84" s="289"/>
      <c r="I84" s="115"/>
      <c r="J84" s="115"/>
      <c r="K84" s="115"/>
      <c r="L84" s="115"/>
    </row>
    <row r="85" spans="1:12" s="114" customFormat="1" ht="27" customHeight="1" thickBot="1" x14ac:dyDescent="0.45">
      <c r="A85" s="111" t="s">
        <v>54</v>
      </c>
      <c r="B85" s="119">
        <v>1</v>
      </c>
      <c r="C85" s="287" t="s">
        <v>112</v>
      </c>
      <c r="D85" s="288"/>
      <c r="E85" s="288"/>
      <c r="F85" s="288"/>
      <c r="G85" s="288"/>
      <c r="H85" s="289"/>
      <c r="I85" s="115"/>
      <c r="J85" s="115"/>
      <c r="K85" s="115"/>
      <c r="L85" s="115"/>
    </row>
    <row r="86" spans="1:12" s="114" customFormat="1" ht="18.75" x14ac:dyDescent="0.3">
      <c r="A86" s="111"/>
      <c r="B86" s="122"/>
      <c r="C86" s="123"/>
      <c r="D86" s="123"/>
      <c r="E86" s="123"/>
      <c r="F86" s="123"/>
      <c r="G86" s="123"/>
      <c r="H86" s="123"/>
      <c r="I86" s="115"/>
      <c r="J86" s="115"/>
      <c r="K86" s="115"/>
      <c r="L86" s="115"/>
    </row>
    <row r="87" spans="1:12" s="114" customFormat="1" ht="18.75" x14ac:dyDescent="0.3">
      <c r="A87" s="111" t="s">
        <v>56</v>
      </c>
      <c r="B87" s="124">
        <f>B84/B85</f>
        <v>1</v>
      </c>
      <c r="C87" s="99" t="s">
        <v>57</v>
      </c>
      <c r="D87" s="99"/>
      <c r="E87" s="99"/>
      <c r="F87" s="99"/>
      <c r="G87" s="99"/>
      <c r="I87" s="115"/>
      <c r="J87" s="115"/>
      <c r="K87" s="115"/>
      <c r="L87" s="115"/>
    </row>
    <row r="88" spans="1:12" ht="19.5" customHeight="1" thickBot="1" x14ac:dyDescent="0.35">
      <c r="A88" s="109"/>
      <c r="B88" s="109"/>
    </row>
    <row r="89" spans="1:12" ht="27" customHeight="1" thickBot="1" x14ac:dyDescent="0.45">
      <c r="A89" s="125" t="s">
        <v>58</v>
      </c>
      <c r="B89" s="126">
        <v>100</v>
      </c>
      <c r="D89" s="209" t="s">
        <v>59</v>
      </c>
      <c r="E89" s="210"/>
      <c r="F89" s="290" t="s">
        <v>60</v>
      </c>
      <c r="G89" s="291"/>
    </row>
    <row r="90" spans="1:12" ht="27" customHeight="1" thickBot="1" x14ac:dyDescent="0.45">
      <c r="A90" s="127" t="s">
        <v>61</v>
      </c>
      <c r="B90" s="128">
        <v>5</v>
      </c>
      <c r="C90" s="211" t="s">
        <v>62</v>
      </c>
      <c r="D90" s="130" t="s">
        <v>63</v>
      </c>
      <c r="E90" s="131" t="s">
        <v>64</v>
      </c>
      <c r="F90" s="130" t="s">
        <v>63</v>
      </c>
      <c r="G90" s="212" t="s">
        <v>64</v>
      </c>
      <c r="I90" s="133" t="s">
        <v>65</v>
      </c>
    </row>
    <row r="91" spans="1:12" ht="26.25" customHeight="1" x14ac:dyDescent="0.4">
      <c r="A91" s="127" t="s">
        <v>66</v>
      </c>
      <c r="B91" s="128">
        <v>50</v>
      </c>
      <c r="C91" s="213">
        <v>1</v>
      </c>
      <c r="D91" s="135">
        <v>0.65300000000000002</v>
      </c>
      <c r="E91" s="136">
        <f>IF(ISBLANK(D91),"-",$D$101/$D$98*D91)</f>
        <v>0.74370378722327146</v>
      </c>
      <c r="F91" s="135">
        <v>0.7056</v>
      </c>
      <c r="G91" s="137">
        <f>IF(ISBLANK(F91),"-",$D$101/$F$98*F91)</f>
        <v>0.74580189161614985</v>
      </c>
      <c r="I91" s="138"/>
    </row>
    <row r="92" spans="1:12" ht="26.25" customHeight="1" x14ac:dyDescent="0.4">
      <c r="A92" s="127" t="s">
        <v>67</v>
      </c>
      <c r="B92" s="128">
        <v>10</v>
      </c>
      <c r="C92" s="157">
        <v>2</v>
      </c>
      <c r="D92" s="140">
        <v>0.65459999999999996</v>
      </c>
      <c r="E92" s="141">
        <f>IF(ISBLANK(D92),"-",$D$101/$D$98*D92)</f>
        <v>0.74552603233744785</v>
      </c>
      <c r="F92" s="140">
        <v>0.70950000000000002</v>
      </c>
      <c r="G92" s="142">
        <f>IF(ISBLANK(F92),"-",$D$101/$F$98*F92)</f>
        <v>0.74992409594906229</v>
      </c>
      <c r="I92" s="274">
        <f>ABS((F96/D96*D95)-F95)/D95</f>
        <v>4.2997702203914651E-3</v>
      </c>
    </row>
    <row r="93" spans="1:12" ht="26.25" customHeight="1" x14ac:dyDescent="0.4">
      <c r="A93" s="127" t="s">
        <v>68</v>
      </c>
      <c r="B93" s="128">
        <v>20</v>
      </c>
      <c r="C93" s="157">
        <v>3</v>
      </c>
      <c r="D93" s="140">
        <v>0.65790000000000004</v>
      </c>
      <c r="E93" s="141">
        <f>IF(ISBLANK(D93),"-",$D$101/$D$98*D93)</f>
        <v>0.7492844128854369</v>
      </c>
      <c r="F93" s="140">
        <v>0.71120000000000005</v>
      </c>
      <c r="G93" s="142">
        <f>IF(ISBLANK(F93),"-",$D$101/$F$98*F93)</f>
        <v>0.7517209542480241</v>
      </c>
      <c r="I93" s="274"/>
    </row>
    <row r="94" spans="1:12" ht="27" customHeight="1" thickBot="1" x14ac:dyDescent="0.45">
      <c r="A94" s="127" t="s">
        <v>69</v>
      </c>
      <c r="B94" s="128">
        <v>1</v>
      </c>
      <c r="C94" s="214">
        <v>4</v>
      </c>
      <c r="D94" s="144"/>
      <c r="E94" s="145" t="str">
        <f>IF(ISBLANK(D94),"-",$D$101/$D$98*D94)</f>
        <v>-</v>
      </c>
      <c r="F94" s="215"/>
      <c r="G94" s="146" t="str">
        <f>IF(ISBLANK(F94),"-",$D$101/$F$98*F94)</f>
        <v>-</v>
      </c>
      <c r="I94" s="147"/>
    </row>
    <row r="95" spans="1:12" ht="27" customHeight="1" thickBot="1" x14ac:dyDescent="0.45">
      <c r="A95" s="127" t="s">
        <v>70</v>
      </c>
      <c r="B95" s="128">
        <v>1</v>
      </c>
      <c r="C95" s="111" t="s">
        <v>71</v>
      </c>
      <c r="D95" s="216">
        <f>AVERAGE(D91:D94)</f>
        <v>0.65516666666666667</v>
      </c>
      <c r="E95" s="150">
        <f>AVERAGE(E91:E94)</f>
        <v>0.74617141081538529</v>
      </c>
      <c r="F95" s="217">
        <f>AVERAGE(F91:F94)</f>
        <v>0.70876666666666666</v>
      </c>
      <c r="G95" s="218">
        <f>AVERAGE(G91:G94)</f>
        <v>0.74914898060441215</v>
      </c>
    </row>
    <row r="96" spans="1:12" ht="26.25" customHeight="1" x14ac:dyDescent="0.4">
      <c r="A96" s="127" t="s">
        <v>72</v>
      </c>
      <c r="B96" s="112">
        <v>1</v>
      </c>
      <c r="C96" s="219" t="s">
        <v>113</v>
      </c>
      <c r="D96" s="220">
        <v>19.61</v>
      </c>
      <c r="E96" s="99"/>
      <c r="F96" s="154">
        <v>21.13</v>
      </c>
    </row>
    <row r="97" spans="1:10" ht="26.25" customHeight="1" x14ac:dyDescent="0.4">
      <c r="A97" s="127" t="s">
        <v>74</v>
      </c>
      <c r="B97" s="112">
        <v>1</v>
      </c>
      <c r="C97" s="221" t="s">
        <v>114</v>
      </c>
      <c r="D97" s="222">
        <f>D96*$B$87</f>
        <v>19.61</v>
      </c>
      <c r="E97" s="157"/>
      <c r="F97" s="156">
        <f>F96*$B$87</f>
        <v>21.13</v>
      </c>
    </row>
    <row r="98" spans="1:10" ht="19.5" customHeight="1" thickBot="1" x14ac:dyDescent="0.35">
      <c r="A98" s="127" t="s">
        <v>76</v>
      </c>
      <c r="B98" s="157">
        <f>(B97/B96)*(B95/B94)*(B93/B92)*(B91/B90)*B89</f>
        <v>2000</v>
      </c>
      <c r="C98" s="221" t="s">
        <v>115</v>
      </c>
      <c r="D98" s="223">
        <f>D97*$B$83/100</f>
        <v>19.511949999999999</v>
      </c>
      <c r="E98" s="159"/>
      <c r="F98" s="158">
        <f>F97*$B$83/100</f>
        <v>21.024349999999998</v>
      </c>
    </row>
    <row r="99" spans="1:10" ht="19.5" customHeight="1" thickBot="1" x14ac:dyDescent="0.35">
      <c r="A99" s="275" t="s">
        <v>78</v>
      </c>
      <c r="B99" s="276"/>
      <c r="C99" s="221" t="s">
        <v>116</v>
      </c>
      <c r="D99" s="224">
        <f>D98/$B$98</f>
        <v>9.7559750000000001E-3</v>
      </c>
      <c r="E99" s="159"/>
      <c r="F99" s="162">
        <f>F98/$B$98</f>
        <v>1.0512174999999999E-2</v>
      </c>
      <c r="H99" s="152"/>
    </row>
    <row r="100" spans="1:10" ht="19.5" customHeight="1" thickBot="1" x14ac:dyDescent="0.35">
      <c r="A100" s="277"/>
      <c r="B100" s="278"/>
      <c r="C100" s="221" t="s">
        <v>80</v>
      </c>
      <c r="D100" s="225">
        <f>$B$56/$B$116</f>
        <v>1.1111111111111112E-2</v>
      </c>
      <c r="F100" s="167"/>
      <c r="G100" s="226"/>
      <c r="H100" s="152"/>
    </row>
    <row r="101" spans="1:10" ht="18.75" x14ac:dyDescent="0.3">
      <c r="C101" s="221" t="s">
        <v>81</v>
      </c>
      <c r="D101" s="222">
        <f>D100*$B$98</f>
        <v>22.222222222222221</v>
      </c>
      <c r="F101" s="167"/>
      <c r="H101" s="152"/>
    </row>
    <row r="102" spans="1:10" ht="19.5" customHeight="1" thickBot="1" x14ac:dyDescent="0.35">
      <c r="C102" s="227" t="s">
        <v>82</v>
      </c>
      <c r="D102" s="228">
        <f>D101/B34</f>
        <v>22.222222222222221</v>
      </c>
      <c r="F102" s="171"/>
      <c r="H102" s="152"/>
      <c r="J102" s="229"/>
    </row>
    <row r="103" spans="1:10" ht="18.75" x14ac:dyDescent="0.3">
      <c r="C103" s="230" t="s">
        <v>117</v>
      </c>
      <c r="D103" s="231">
        <f>AVERAGE(E91:E94,G91:G94)</f>
        <v>0.74766019570989872</v>
      </c>
      <c r="F103" s="171"/>
      <c r="G103" s="226"/>
      <c r="H103" s="152"/>
      <c r="J103" s="232"/>
    </row>
    <row r="104" spans="1:10" ht="18.75" x14ac:dyDescent="0.3">
      <c r="C104" s="204" t="s">
        <v>84</v>
      </c>
      <c r="D104" s="233">
        <f>STDEV(E91:E94,G91:G94)/D103</f>
        <v>4.1404053742316194E-3</v>
      </c>
      <c r="F104" s="171"/>
      <c r="H104" s="152"/>
      <c r="J104" s="232"/>
    </row>
    <row r="105" spans="1:10" ht="19.5" customHeight="1" thickBot="1" x14ac:dyDescent="0.35">
      <c r="C105" s="206" t="s">
        <v>20</v>
      </c>
      <c r="D105" s="234">
        <f>COUNT(E91:E94,G91:G94)</f>
        <v>6</v>
      </c>
      <c r="F105" s="171"/>
      <c r="H105" s="152"/>
      <c r="J105" s="232"/>
    </row>
    <row r="106" spans="1:10" ht="19.5" customHeight="1" thickBot="1" x14ac:dyDescent="0.35">
      <c r="A106" s="175"/>
      <c r="B106" s="175"/>
      <c r="C106" s="175"/>
      <c r="D106" s="175"/>
      <c r="E106" s="175"/>
    </row>
    <row r="107" spans="1:10" ht="26.25" customHeight="1" x14ac:dyDescent="0.4">
      <c r="A107" s="125" t="s">
        <v>118</v>
      </c>
      <c r="B107" s="126">
        <v>900</v>
      </c>
      <c r="C107" s="209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7" t="s">
        <v>122</v>
      </c>
      <c r="B108" s="128">
        <v>4</v>
      </c>
      <c r="C108" s="238">
        <v>1</v>
      </c>
      <c r="D108" s="239">
        <v>0.73809999999999998</v>
      </c>
      <c r="E108" s="240">
        <f t="shared" ref="E108:E113" si="1">IF(ISBLANK(D108),"-",D108/$D$103*$D$100*$B$116)</f>
        <v>493.60659042386135</v>
      </c>
      <c r="F108" s="241">
        <f t="shared" ref="F108:F113" si="2">IF(ISBLANK(D108), "-", E108/$B$56)</f>
        <v>0.98721318084772269</v>
      </c>
    </row>
    <row r="109" spans="1:10" ht="26.25" customHeight="1" x14ac:dyDescent="0.4">
      <c r="A109" s="127" t="s">
        <v>95</v>
      </c>
      <c r="B109" s="128">
        <v>100</v>
      </c>
      <c r="C109" s="238">
        <v>2</v>
      </c>
      <c r="D109" s="239">
        <v>0.73460000000000003</v>
      </c>
      <c r="E109" s="242">
        <f t="shared" si="1"/>
        <v>491.2659549185322</v>
      </c>
      <c r="F109" s="243">
        <f t="shared" si="2"/>
        <v>0.9825319098370644</v>
      </c>
    </row>
    <row r="110" spans="1:10" ht="26.25" customHeight="1" x14ac:dyDescent="0.4">
      <c r="A110" s="127" t="s">
        <v>96</v>
      </c>
      <c r="B110" s="128">
        <v>10</v>
      </c>
      <c r="C110" s="238">
        <v>3</v>
      </c>
      <c r="D110" s="239">
        <v>0.72489999999999999</v>
      </c>
      <c r="E110" s="242">
        <f t="shared" si="1"/>
        <v>484.77905080376252</v>
      </c>
      <c r="F110" s="243">
        <f t="shared" si="2"/>
        <v>0.96955810160752498</v>
      </c>
    </row>
    <row r="111" spans="1:10" ht="26.25" customHeight="1" x14ac:dyDescent="0.4">
      <c r="A111" s="127" t="s">
        <v>97</v>
      </c>
      <c r="B111" s="128">
        <v>20</v>
      </c>
      <c r="C111" s="238">
        <v>4</v>
      </c>
      <c r="D111" s="239">
        <v>0.72909999999999997</v>
      </c>
      <c r="E111" s="242">
        <f t="shared" si="1"/>
        <v>487.58781341015754</v>
      </c>
      <c r="F111" s="243">
        <f t="shared" si="2"/>
        <v>0.97517562682031511</v>
      </c>
    </row>
    <row r="112" spans="1:10" ht="26.25" customHeight="1" x14ac:dyDescent="0.4">
      <c r="A112" s="127" t="s">
        <v>98</v>
      </c>
      <c r="B112" s="128">
        <v>1</v>
      </c>
      <c r="C112" s="238">
        <v>5</v>
      </c>
      <c r="D112" s="239">
        <v>0.73450000000000004</v>
      </c>
      <c r="E112" s="242">
        <f t="shared" si="1"/>
        <v>491.19907961837993</v>
      </c>
      <c r="F112" s="243">
        <f t="shared" si="2"/>
        <v>0.98239815923675988</v>
      </c>
    </row>
    <row r="113" spans="1:10" ht="26.25" customHeight="1" x14ac:dyDescent="0.4">
      <c r="A113" s="127" t="s">
        <v>100</v>
      </c>
      <c r="B113" s="128">
        <v>1</v>
      </c>
      <c r="C113" s="244">
        <v>6</v>
      </c>
      <c r="D113" s="245">
        <v>0.73229999999999995</v>
      </c>
      <c r="E113" s="246">
        <f t="shared" si="1"/>
        <v>489.72782301503003</v>
      </c>
      <c r="F113" s="247">
        <f t="shared" si="2"/>
        <v>0.97945564603006008</v>
      </c>
    </row>
    <row r="114" spans="1:10" ht="26.25" customHeight="1" x14ac:dyDescent="0.4">
      <c r="A114" s="127" t="s">
        <v>101</v>
      </c>
      <c r="B114" s="128">
        <v>1</v>
      </c>
      <c r="C114" s="238"/>
      <c r="D114" s="157"/>
      <c r="E114" s="99"/>
      <c r="F114" s="248"/>
    </row>
    <row r="115" spans="1:10" ht="26.25" customHeight="1" x14ac:dyDescent="0.4">
      <c r="A115" s="127" t="s">
        <v>102</v>
      </c>
      <c r="B115" s="128">
        <v>1</v>
      </c>
      <c r="C115" s="238"/>
      <c r="D115" s="249" t="s">
        <v>71</v>
      </c>
      <c r="E115" s="250">
        <f>AVERAGE(E108:E113)</f>
        <v>489.69438536495392</v>
      </c>
      <c r="F115" s="251">
        <f>AVERAGE(F108:F113)</f>
        <v>0.97938877072990793</v>
      </c>
    </row>
    <row r="116" spans="1:10" ht="27" customHeight="1" thickBot="1" x14ac:dyDescent="0.45">
      <c r="A116" s="127" t="s">
        <v>103</v>
      </c>
      <c r="B116" s="139">
        <f>(B115/B114)*(B113/B112)*(B111/B110)*(B109/B108)*B107</f>
        <v>45000</v>
      </c>
      <c r="C116" s="252"/>
      <c r="D116" s="111" t="s">
        <v>84</v>
      </c>
      <c r="E116" s="253">
        <f>STDEV(E108:E113)/E115</f>
        <v>6.3691317672456508E-3</v>
      </c>
      <c r="F116" s="253">
        <f>STDEV(F108:F113)/F115</f>
        <v>6.3691317672456621E-3</v>
      </c>
      <c r="I116" s="99"/>
    </row>
    <row r="117" spans="1:10" ht="27" customHeight="1" thickBot="1" x14ac:dyDescent="0.45">
      <c r="A117" s="275" t="s">
        <v>78</v>
      </c>
      <c r="B117" s="279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9"/>
      <c r="J117" s="232"/>
    </row>
    <row r="118" spans="1:10" ht="19.5" customHeight="1" thickBot="1" x14ac:dyDescent="0.35">
      <c r="A118" s="277"/>
      <c r="B118" s="280"/>
      <c r="C118" s="99"/>
      <c r="D118" s="99"/>
      <c r="E118" s="99"/>
      <c r="F118" s="157"/>
      <c r="G118" s="99"/>
      <c r="H118" s="99"/>
      <c r="I118" s="99"/>
    </row>
    <row r="119" spans="1:10" ht="18.75" x14ac:dyDescent="0.3">
      <c r="A119" s="257"/>
      <c r="B119" s="123"/>
      <c r="C119" s="99"/>
      <c r="D119" s="99"/>
      <c r="E119" s="99"/>
      <c r="F119" s="157"/>
      <c r="G119" s="99"/>
      <c r="H119" s="99"/>
      <c r="I119" s="99"/>
    </row>
    <row r="120" spans="1:10" ht="26.25" customHeight="1" x14ac:dyDescent="0.4">
      <c r="A120" s="110" t="s">
        <v>106</v>
      </c>
      <c r="B120" s="111" t="s">
        <v>123</v>
      </c>
      <c r="C120" s="281" t="str">
        <f>B20</f>
        <v xml:space="preserve">Rifampicin, Isoniazid, Pyrazinamide 
</v>
      </c>
      <c r="D120" s="281"/>
      <c r="E120" s="99" t="s">
        <v>124</v>
      </c>
      <c r="F120" s="99"/>
      <c r="G120" s="208">
        <f>F115</f>
        <v>0.97938877072990793</v>
      </c>
      <c r="H120" s="99"/>
      <c r="I120" s="99"/>
    </row>
    <row r="121" spans="1:10" ht="19.5" customHeight="1" thickBo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82" t="s">
        <v>26</v>
      </c>
      <c r="C122" s="282"/>
      <c r="E122" s="211" t="s">
        <v>27</v>
      </c>
      <c r="F122" s="260"/>
      <c r="G122" s="282" t="s">
        <v>28</v>
      </c>
      <c r="H122" s="282"/>
    </row>
    <row r="123" spans="1:10" ht="69.95" customHeight="1" x14ac:dyDescent="0.3">
      <c r="A123" s="110" t="s">
        <v>29</v>
      </c>
      <c r="B123" s="261"/>
      <c r="C123" s="261"/>
      <c r="E123" s="261"/>
      <c r="F123" s="99"/>
      <c r="G123" s="261"/>
      <c r="H123" s="261"/>
    </row>
    <row r="124" spans="1:10" ht="69.95" customHeight="1" x14ac:dyDescent="0.3">
      <c r="A124" s="110" t="s">
        <v>30</v>
      </c>
      <c r="B124" s="262"/>
      <c r="C124" s="262"/>
      <c r="E124" s="262"/>
      <c r="F124" s="99"/>
      <c r="G124" s="263"/>
      <c r="H124" s="263"/>
    </row>
    <row r="125" spans="1:10" ht="18.75" x14ac:dyDescent="0.3">
      <c r="A125" s="157"/>
      <c r="B125" s="157"/>
      <c r="C125" s="157"/>
      <c r="D125" s="157"/>
      <c r="E125" s="157"/>
      <c r="F125" s="159"/>
      <c r="G125" s="157"/>
      <c r="H125" s="157"/>
      <c r="I125" s="99"/>
    </row>
    <row r="126" spans="1:10" ht="18.75" x14ac:dyDescent="0.3">
      <c r="A126" s="157"/>
      <c r="B126" s="157"/>
      <c r="C126" s="157"/>
      <c r="D126" s="157"/>
      <c r="E126" s="157"/>
      <c r="F126" s="159"/>
      <c r="G126" s="157"/>
      <c r="H126" s="157"/>
      <c r="I126" s="99"/>
    </row>
    <row r="127" spans="1:10" ht="18.75" x14ac:dyDescent="0.3">
      <c r="A127" s="157"/>
      <c r="B127" s="157"/>
      <c r="C127" s="157"/>
      <c r="D127" s="157"/>
      <c r="E127" s="157"/>
      <c r="F127" s="159"/>
      <c r="G127" s="157"/>
      <c r="H127" s="157"/>
      <c r="I127" s="99"/>
    </row>
    <row r="128" spans="1:10" ht="18.75" x14ac:dyDescent="0.3">
      <c r="A128" s="157"/>
      <c r="B128" s="157"/>
      <c r="C128" s="157"/>
      <c r="D128" s="157"/>
      <c r="E128" s="157"/>
      <c r="F128" s="159"/>
      <c r="G128" s="157"/>
      <c r="H128" s="157"/>
      <c r="I128" s="99"/>
    </row>
    <row r="129" spans="1:9" ht="18.75" x14ac:dyDescent="0.3">
      <c r="A129" s="157"/>
      <c r="B129" s="157"/>
      <c r="C129" s="157"/>
      <c r="D129" s="157"/>
      <c r="E129" s="157"/>
      <c r="F129" s="159"/>
      <c r="G129" s="157"/>
      <c r="H129" s="157"/>
      <c r="I129" s="99"/>
    </row>
    <row r="130" spans="1:9" ht="18.75" x14ac:dyDescent="0.3">
      <c r="A130" s="157"/>
      <c r="B130" s="157"/>
      <c r="C130" s="157"/>
      <c r="D130" s="157"/>
      <c r="E130" s="157"/>
      <c r="F130" s="159"/>
      <c r="G130" s="157"/>
      <c r="H130" s="157"/>
      <c r="I130" s="99"/>
    </row>
    <row r="131" spans="1:9" ht="18.75" x14ac:dyDescent="0.3">
      <c r="A131" s="157"/>
      <c r="B131" s="157"/>
      <c r="C131" s="157"/>
      <c r="D131" s="157"/>
      <c r="E131" s="157"/>
      <c r="F131" s="159"/>
      <c r="G131" s="157"/>
      <c r="H131" s="157"/>
      <c r="I131" s="99"/>
    </row>
    <row r="132" spans="1:9" ht="18.75" x14ac:dyDescent="0.3">
      <c r="A132" s="157"/>
      <c r="B132" s="157"/>
      <c r="C132" s="157"/>
      <c r="D132" s="157"/>
      <c r="E132" s="157"/>
      <c r="F132" s="159"/>
      <c r="G132" s="157"/>
      <c r="H132" s="157"/>
      <c r="I132" s="99"/>
    </row>
    <row r="133" spans="1:9" ht="18.75" x14ac:dyDescent="0.3">
      <c r="A133" s="157"/>
      <c r="B133" s="157"/>
      <c r="C133" s="157"/>
      <c r="D133" s="157"/>
      <c r="E133" s="157"/>
      <c r="F133" s="159"/>
      <c r="G133" s="157"/>
      <c r="H133" s="157"/>
      <c r="I133" s="99"/>
    </row>
    <row r="250" spans="1:1" x14ac:dyDescent="0.25">
      <c r="A250" s="9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Pyrazinamide</vt:lpstr>
      <vt:lpstr>Pyrazinamide!Print_Area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2016-06-17T14:01:18Z</cp:lastPrinted>
  <dcterms:created xsi:type="dcterms:W3CDTF">2005-07-05T10:19:27Z</dcterms:created>
  <dcterms:modified xsi:type="dcterms:W3CDTF">2016-06-17T14:01:51Z</dcterms:modified>
</cp:coreProperties>
</file>