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3\Google Drive\My Documents\NQCL\Wet Chemistry\Worksheets\Sarah Muthoni\2017\June 2017\"/>
    </mc:Choice>
  </mc:AlternateContent>
  <bookViews>
    <workbookView xWindow="0" yWindow="0" windowWidth="15345" windowHeight="4575" activeTab="3"/>
  </bookViews>
  <sheets>
    <sheet name="Torsemide 1" sheetId="4" r:id="rId1"/>
    <sheet name="SST" sheetId="1" r:id="rId2"/>
    <sheet name="Uniformity" sheetId="2" r:id="rId3"/>
    <sheet name="Torsemide" sheetId="3" r:id="rId4"/>
  </sheets>
  <externalReferences>
    <externalReference r:id="rId5"/>
  </externalReferences>
  <definedNames>
    <definedName name="_xlnm.Print_Area" localSheetId="2">Uniformity!$A$1:$F$54</definedName>
  </definedNames>
  <calcPr calcId="162913"/>
</workbook>
</file>

<file path=xl/calcChain.xml><?xml version="1.0" encoding="utf-8"?>
<calcChain xmlns="http://schemas.openxmlformats.org/spreadsheetml/2006/main">
  <c r="B42" i="1" l="1"/>
  <c r="B21" i="1"/>
  <c r="B30" i="4"/>
  <c r="B34" i="4"/>
  <c r="D44" i="4" s="1"/>
  <c r="D45" i="4" s="1"/>
  <c r="D42" i="4"/>
  <c r="F42" i="4"/>
  <c r="B45" i="4"/>
  <c r="D48" i="4" s="1"/>
  <c r="B55" i="4"/>
  <c r="C56" i="4"/>
  <c r="B57" i="4"/>
  <c r="B68" i="4"/>
  <c r="C76" i="4"/>
  <c r="B83" i="4"/>
  <c r="B87" i="4"/>
  <c r="F97" i="4" s="1"/>
  <c r="D95" i="4"/>
  <c r="F95" i="4"/>
  <c r="B98" i="4"/>
  <c r="B116" i="4"/>
  <c r="D100" i="4" s="1"/>
  <c r="C124" i="4"/>
  <c r="C129" i="3"/>
  <c r="B125" i="3"/>
  <c r="D109" i="3" s="1"/>
  <c r="B107" i="3"/>
  <c r="F106" i="3"/>
  <c r="F104" i="3"/>
  <c r="D104" i="3"/>
  <c r="G103" i="3"/>
  <c r="E103" i="3"/>
  <c r="B96" i="3"/>
  <c r="D106" i="3" s="1"/>
  <c r="B90" i="3"/>
  <c r="B91" i="3" s="1"/>
  <c r="C74" i="3"/>
  <c r="B67" i="3"/>
  <c r="C56" i="3"/>
  <c r="B55" i="3"/>
  <c r="B45" i="3"/>
  <c r="D48" i="3" s="1"/>
  <c r="F42" i="3"/>
  <c r="D42" i="3"/>
  <c r="G41" i="3"/>
  <c r="E41" i="3"/>
  <c r="B34" i="3"/>
  <c r="F44" i="3" s="1"/>
  <c r="B30" i="3"/>
  <c r="C46" i="2"/>
  <c r="C50" i="2" s="1"/>
  <c r="C45" i="2"/>
  <c r="D41" i="2"/>
  <c r="D35" i="2"/>
  <c r="D31" i="2"/>
  <c r="D27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9" i="2" l="1"/>
  <c r="D37" i="2"/>
  <c r="D101" i="4"/>
  <c r="B69" i="4"/>
  <c r="D25" i="2"/>
  <c r="D33" i="2"/>
  <c r="D49" i="3"/>
  <c r="D97" i="4"/>
  <c r="D98" i="4" s="1"/>
  <c r="D99" i="4" s="1"/>
  <c r="I92" i="4"/>
  <c r="I39" i="4"/>
  <c r="D46" i="4"/>
  <c r="F98" i="4"/>
  <c r="F99" i="4" s="1"/>
  <c r="E91" i="4"/>
  <c r="E92" i="4"/>
  <c r="D102" i="4"/>
  <c r="E94" i="4"/>
  <c r="E93" i="4"/>
  <c r="E41" i="4"/>
  <c r="F44" i="4"/>
  <c r="F45" i="4" s="1"/>
  <c r="F46" i="4" s="1"/>
  <c r="E39" i="4"/>
  <c r="D49" i="4"/>
  <c r="E40" i="4"/>
  <c r="G41" i="4"/>
  <c r="E38" i="4"/>
  <c r="D110" i="3"/>
  <c r="D111" i="3" s="1"/>
  <c r="D107" i="3"/>
  <c r="F107" i="3"/>
  <c r="F45" i="3"/>
  <c r="D50" i="2"/>
  <c r="B57" i="3"/>
  <c r="D26" i="2"/>
  <c r="D30" i="2"/>
  <c r="D34" i="2"/>
  <c r="D38" i="2"/>
  <c r="D42" i="2"/>
  <c r="B49" i="2"/>
  <c r="D39" i="2"/>
  <c r="D43" i="2"/>
  <c r="C49" i="2"/>
  <c r="D24" i="2"/>
  <c r="D28" i="2"/>
  <c r="D32" i="2"/>
  <c r="D36" i="2"/>
  <c r="D40" i="2"/>
  <c r="D49" i="2"/>
  <c r="D44" i="3"/>
  <c r="D45" i="3" s="1"/>
  <c r="G91" i="4" l="1"/>
  <c r="G93" i="4"/>
  <c r="G94" i="4"/>
  <c r="G92" i="4"/>
  <c r="G38" i="4"/>
  <c r="G40" i="4"/>
  <c r="G39" i="4"/>
  <c r="E42" i="4"/>
  <c r="E95" i="4"/>
  <c r="F108" i="3"/>
  <c r="G101" i="3"/>
  <c r="G102" i="3"/>
  <c r="G100" i="3"/>
  <c r="D108" i="3"/>
  <c r="E102" i="3"/>
  <c r="E100" i="3"/>
  <c r="E101" i="3"/>
  <c r="F46" i="3"/>
  <c r="G39" i="3"/>
  <c r="G38" i="3"/>
  <c r="G40" i="3"/>
  <c r="D46" i="3"/>
  <c r="E40" i="3"/>
  <c r="E38" i="3"/>
  <c r="E39" i="3"/>
  <c r="D103" i="4" l="1"/>
  <c r="G95" i="4"/>
  <c r="D105" i="4"/>
  <c r="D52" i="4"/>
  <c r="G42" i="4"/>
  <c r="D50" i="4"/>
  <c r="D51" i="4" s="1"/>
  <c r="E109" i="4"/>
  <c r="F109" i="4" s="1"/>
  <c r="E113" i="4"/>
  <c r="F113" i="4" s="1"/>
  <c r="E108" i="4"/>
  <c r="E110" i="4"/>
  <c r="F110" i="4" s="1"/>
  <c r="E112" i="4"/>
  <c r="F112" i="4" s="1"/>
  <c r="E111" i="4"/>
  <c r="F111" i="4" s="1"/>
  <c r="D104" i="4"/>
  <c r="G104" i="3"/>
  <c r="D114" i="3"/>
  <c r="D112" i="3"/>
  <c r="E104" i="3"/>
  <c r="G42" i="3"/>
  <c r="D52" i="3"/>
  <c r="E42" i="3"/>
  <c r="D50" i="3"/>
  <c r="D51" i="3" l="1"/>
  <c r="E67" i="3"/>
  <c r="E62" i="3"/>
  <c r="E60" i="3"/>
  <c r="E65" i="3"/>
  <c r="E59" i="3"/>
  <c r="E64" i="3"/>
  <c r="E61" i="3"/>
  <c r="E68" i="3"/>
  <c r="E66" i="3"/>
  <c r="G66" i="3" s="1"/>
  <c r="E63" i="3"/>
  <c r="D113" i="3"/>
  <c r="E120" i="3"/>
  <c r="F120" i="3" s="1"/>
  <c r="E119" i="3"/>
  <c r="F119" i="3" s="1"/>
  <c r="E122" i="3"/>
  <c r="F122" i="3" s="1"/>
  <c r="E118" i="3"/>
  <c r="F118" i="3" s="1"/>
  <c r="E121" i="3"/>
  <c r="F121" i="3" s="1"/>
  <c r="E117" i="3"/>
  <c r="F117" i="3" s="1"/>
  <c r="G71" i="4"/>
  <c r="H71" i="4" s="1"/>
  <c r="G66" i="4"/>
  <c r="H66" i="4" s="1"/>
  <c r="G65" i="4"/>
  <c r="H65" i="4" s="1"/>
  <c r="G64" i="4"/>
  <c r="H64" i="4" s="1"/>
  <c r="G61" i="4"/>
  <c r="H61" i="4" s="1"/>
  <c r="G63" i="4"/>
  <c r="H63" i="4" s="1"/>
  <c r="G68" i="4"/>
  <c r="H68" i="4" s="1"/>
  <c r="G62" i="4"/>
  <c r="H62" i="4" s="1"/>
  <c r="G70" i="4"/>
  <c r="H70" i="4" s="1"/>
  <c r="G67" i="4"/>
  <c r="H67" i="4" s="1"/>
  <c r="G69" i="4"/>
  <c r="H69" i="4" s="1"/>
  <c r="G60" i="4"/>
  <c r="H60" i="4" s="1"/>
  <c r="E119" i="4"/>
  <c r="E115" i="4"/>
  <c r="E116" i="4" s="1"/>
  <c r="F108" i="4"/>
  <c r="E117" i="4"/>
  <c r="E120" i="4"/>
  <c r="G61" i="3" l="1"/>
  <c r="G60" i="3"/>
  <c r="G63" i="3"/>
  <c r="G64" i="3"/>
  <c r="G62" i="3"/>
  <c r="G68" i="3"/>
  <c r="G65" i="3"/>
  <c r="F124" i="3"/>
  <c r="F126" i="3"/>
  <c r="G59" i="3"/>
  <c r="E70" i="3"/>
  <c r="F60" i="3" s="1"/>
  <c r="E72" i="3"/>
  <c r="F59" i="3"/>
  <c r="G67" i="3"/>
  <c r="F67" i="3"/>
  <c r="G72" i="4"/>
  <c r="G73" i="4" s="1"/>
  <c r="G74" i="4"/>
  <c r="H74" i="4"/>
  <c r="H72" i="4"/>
  <c r="G76" i="4" s="1"/>
  <c r="D125" i="4"/>
  <c r="F120" i="4"/>
  <c r="F119" i="4"/>
  <c r="F115" i="4"/>
  <c r="G124" i="4" s="1"/>
  <c r="F117" i="4"/>
  <c r="F125" i="4"/>
  <c r="F68" i="3" l="1"/>
  <c r="F64" i="3"/>
  <c r="F125" i="3"/>
  <c r="G129" i="3"/>
  <c r="F66" i="3"/>
  <c r="E71" i="3"/>
  <c r="F65" i="3"/>
  <c r="F62" i="3"/>
  <c r="F63" i="3"/>
  <c r="F61" i="3"/>
  <c r="F70" i="3" s="1"/>
  <c r="F71" i="3" s="1"/>
  <c r="G72" i="3"/>
  <c r="G70" i="3"/>
  <c r="C81" i="3"/>
  <c r="F116" i="4"/>
  <c r="H73" i="4"/>
  <c r="G74" i="3" l="1"/>
  <c r="C82" i="3"/>
  <c r="C83" i="3" s="1"/>
  <c r="C79" i="3"/>
  <c r="G71" i="3"/>
  <c r="F72" i="3"/>
</calcChain>
</file>

<file path=xl/sharedStrings.xml><?xml version="1.0" encoding="utf-8"?>
<sst xmlns="http://schemas.openxmlformats.org/spreadsheetml/2006/main" count="404" uniqueCount="155">
  <si>
    <t>HPLC System Suitability Report</t>
  </si>
  <si>
    <t>Analysis Data</t>
  </si>
  <si>
    <t>Assay</t>
  </si>
  <si>
    <t>Sample(s)</t>
  </si>
  <si>
    <t>Reference Substance:</t>
  </si>
  <si>
    <t>TORTAS 20 TABLETS</t>
  </si>
  <si>
    <t>% age Purity:</t>
  </si>
  <si>
    <t>NDQD2016061177</t>
  </si>
  <si>
    <t>Weight (mg):</t>
  </si>
  <si>
    <t>Torsemide USP</t>
  </si>
  <si>
    <t>Standard Conc (mg/mL):</t>
  </si>
  <si>
    <t>Each uncoated tablet contains Torsemide USP 20 mg</t>
  </si>
  <si>
    <t>2016-06-20 13:19:18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</si>
  <si>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</si>
  <si>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</si>
  <si>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</si>
  <si>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</si>
  <si>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</si>
  <si>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</si>
  <si>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</si>
  <si>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</si>
  <si>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</si>
  <si>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</si>
  <si>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</si>
  <si>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</si>
  <si>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</si>
  <si>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</si>
  <si>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</si>
  <si>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</si>
  <si>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</si>
  <si>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</si>
  <si>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</si>
  <si>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</si>
  <si>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</si>
  <si>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</si>
  <si>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</si>
  <si>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</si>
  <si>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</si>
  <si>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</si>
  <si>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</si>
  <si>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</si>
  <si>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</si>
  <si>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</si>
  <si>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</si>
  <si>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</si>
  <si>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</si>
  <si>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</si>
  <si>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</si>
  <si>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</si>
  <si>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</si>
  <si>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</si>
  <si>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</si>
  <si>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</si>
  <si>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</si>
  <si>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</si>
  <si>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</si>
  <si>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</si>
  <si>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</si>
  <si>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</si>
  <si>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</si>
  <si>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</si>
  <si>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</si>
  <si>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</si>
  <si>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</si>
  <si>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</si>
  <si>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</si>
  <si>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</si>
  <si>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</si>
  <si>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</si>
  <si>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</si>
  <si>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</si>
  <si>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</si>
  <si>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</si>
  <si>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</si>
  <si>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</si>
  <si>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</si>
  <si>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</si>
  <si>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</si>
  <si>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</si>
  <si>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</si>
  <si>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</si>
  <si>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</si>
  <si>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</si>
  <si>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</si>
  <si>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</si>
  <si>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</si>
  <si>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</si>
  <si>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</si>
  <si>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</si>
  <si>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</si>
  <si>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</si>
  <si>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</si>
  <si>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</si>
  <si>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</si>
  <si>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</si>
  <si>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</si>
  <si>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</si>
  <si>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</si>
  <si>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</si>
  <si>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</si>
  <si>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</si>
  <si>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</si>
  <si>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</si>
  <si>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</si>
  <si>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</si>
  <si>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</si>
  <si>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</si>
  <si>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</si>
  <si>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</si>
  <si>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</si>
  <si>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</si>
  <si>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</si>
  <si>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</si>
  <si>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</si>
  <si>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</si>
  <si>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</si>
  <si>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</si>
  <si>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</si>
  <si>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</si>
  <si>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</si>
  <si>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</si>
  <si>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</si>
  <si>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</si>
  <si>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</si>
  <si>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Torsemide</t>
  </si>
  <si>
    <t>T36-2</t>
  </si>
  <si>
    <t>Maximum</t>
  </si>
  <si>
    <t>Minimum</t>
  </si>
  <si>
    <t>Range:</t>
  </si>
  <si>
    <t>Comment:</t>
  </si>
  <si>
    <t>Maximum:</t>
  </si>
  <si>
    <t>Minimum:</t>
  </si>
  <si>
    <t>Range</t>
  </si>
  <si>
    <t>Unit No.</t>
  </si>
  <si>
    <t>Average Normalised Peak Area:</t>
  </si>
  <si>
    <t>Desired Concentration (mg/mL):</t>
  </si>
  <si>
    <t>Conc (mg/mL):</t>
  </si>
  <si>
    <t>Purity correction:</t>
  </si>
  <si>
    <t xml:space="preserve">Std Response Deviation </t>
  </si>
  <si>
    <t>Initial Standard dilution volume (mL):</t>
  </si>
  <si>
    <t xml:space="preserve">Enter molecular mass of compound in salt form. If salt convertion is NOT needed, enter 1. </t>
  </si>
  <si>
    <t xml:space="preserve">Enter molecular mass of compound in free base form. If salt convertion is NOT needed, enter 1. </t>
  </si>
  <si>
    <t>Desired Sample Weight (mg):</t>
  </si>
  <si>
    <t>Assay Smp C</t>
  </si>
  <si>
    <t>Assay Smp B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</si>
  <si>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</si>
  <si>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</si>
  <si>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% Assay</t>
  </si>
  <si>
    <t>Determined Amt (mg)</t>
  </si>
  <si>
    <t>Powder Weight (mg)</t>
  </si>
  <si>
    <t>Initial Sample dilution Volume (mL):</t>
  </si>
  <si>
    <t>Mass of WRS as free base (mg):</t>
  </si>
  <si>
    <t>Mass of RS (mg):</t>
  </si>
  <si>
    <t>Each tablet contain Torsemide  usp 20mg</t>
  </si>
  <si>
    <t>30-05-2017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</si>
</sst>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"/>
    <numFmt numFmtId="167" formatCode="[$-409]d/mmm/yy;@"/>
    <numFmt numFmtId="168" formatCode="0.0000\ &quot;mg&quot;"/>
    <numFmt numFmtId="169" formatCode="0.000"/>
    <numFmt numFmtId="170" formatCode="0.0\ &quot;%&quot;"/>
    <numFmt numFmtId="171" formatCode="0\ &quot;%&quot;"/>
    <numFmt numFmtId="172" formatCode="0.00\ &quot;%&quot;"/>
    <numFmt numFmtId="173" formatCode="0.0\ &quot;mg&quot;"/>
    <numFmt numFmtId="174" formatCode="dd\-mmm\-yyyy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sz val="36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5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5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8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69" fontId="11" fillId="2" borderId="27" xfId="0" applyNumberFormat="1" applyFont="1" applyFill="1" applyBorder="1" applyAlignment="1">
      <alignment horizontal="center"/>
    </xf>
    <xf numFmtId="169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69" fontId="11" fillId="2" borderId="32" xfId="0" applyNumberFormat="1" applyFont="1" applyFill="1" applyBorder="1" applyAlignment="1">
      <alignment horizontal="center"/>
    </xf>
    <xf numFmtId="169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69" fontId="11" fillId="2" borderId="35" xfId="0" applyNumberFormat="1" applyFont="1" applyFill="1" applyBorder="1" applyAlignment="1">
      <alignment horizontal="center"/>
    </xf>
    <xf numFmtId="169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69" fontId="12" fillId="6" borderId="38" xfId="0" applyNumberFormat="1" applyFont="1" applyFill="1" applyBorder="1" applyAlignment="1">
      <alignment horizontal="center"/>
    </xf>
    <xf numFmtId="169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9" fontId="12" fillId="7" borderId="13" xfId="0" applyNumberFormat="1" applyFont="1" applyFill="1" applyBorder="1" applyAlignment="1">
      <alignment horizontal="center"/>
    </xf>
    <xf numFmtId="169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69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69" fontId="11" fillId="2" borderId="3" xfId="0" applyNumberFormat="1" applyFont="1" applyFill="1" applyBorder="1" applyAlignment="1">
      <alignment horizontal="center"/>
    </xf>
    <xf numFmtId="169" fontId="11" fillId="2" borderId="5" xfId="0" applyNumberFormat="1" applyFont="1" applyFill="1" applyBorder="1" applyAlignment="1">
      <alignment horizontal="center"/>
    </xf>
    <xf numFmtId="169" fontId="14" fillId="3" borderId="7" xfId="0" applyNumberFormat="1" applyFont="1" applyFill="1" applyBorder="1" applyAlignment="1" applyProtection="1">
      <alignment horizontal="center"/>
      <protection locked="0"/>
    </xf>
    <xf numFmtId="169" fontId="12" fillId="6" borderId="53" xfId="0" applyNumberFormat="1" applyFont="1" applyFill="1" applyBorder="1" applyAlignment="1">
      <alignment horizontal="center"/>
    </xf>
    <xf numFmtId="169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9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1" fontId="14" fillId="3" borderId="32" xfId="0" applyNumberFormat="1" applyFont="1" applyFill="1" applyBorder="1" applyAlignment="1" applyProtection="1">
      <alignment horizontal="center"/>
      <protection locked="0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" fontId="14" fillId="3" borderId="0" xfId="0" applyNumberFormat="1" applyFont="1" applyFill="1" applyAlignment="1" applyProtection="1">
      <alignment horizontal="center"/>
      <protection locked="0"/>
    </xf>
    <xf numFmtId="0" fontId="23" fillId="2" borderId="0" xfId="1" applyFill="1"/>
    <xf numFmtId="0" fontId="2" fillId="2" borderId="0" xfId="1" applyFont="1" applyFill="1"/>
    <xf numFmtId="0" fontId="11" fillId="2" borderId="0" xfId="1" applyFont="1" applyFill="1"/>
    <xf numFmtId="0" fontId="11" fillId="2" borderId="0" xfId="1" applyFont="1" applyFill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0" xfId="1" applyFont="1" applyFill="1" applyAlignment="1">
      <alignment horizontal="right"/>
    </xf>
    <xf numFmtId="0" fontId="11" fillId="2" borderId="7" xfId="1" applyFont="1" applyFill="1" applyBorder="1"/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9" xfId="1" applyFont="1" applyFill="1" applyBorder="1"/>
    <xf numFmtId="0" fontId="17" fillId="2" borderId="9" xfId="1" applyFont="1" applyFill="1" applyBorder="1" applyAlignment="1">
      <alignment horizontal="left" vertical="center" wrapText="1"/>
    </xf>
    <xf numFmtId="165" fontId="14" fillId="2" borderId="0" xfId="1" applyNumberFormat="1" applyFont="1" applyFill="1" applyAlignment="1">
      <alignment horizontal="center"/>
    </xf>
    <xf numFmtId="171" fontId="24" fillId="2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right"/>
    </xf>
    <xf numFmtId="0" fontId="17" fillId="2" borderId="0" xfId="1" applyFont="1" applyFill="1" applyAlignment="1">
      <alignment horizontal="left" vertical="center" wrapText="1"/>
    </xf>
    <xf numFmtId="0" fontId="17" fillId="2" borderId="0" xfId="1" applyFont="1" applyFill="1" applyAlignment="1">
      <alignment horizontal="right" vertical="center" wrapText="1"/>
    </xf>
    <xf numFmtId="170" fontId="14" fillId="7" borderId="60" xfId="1" applyNumberFormat="1" applyFont="1" applyFill="1" applyBorder="1" applyAlignment="1">
      <alignment horizontal="center"/>
    </xf>
    <xf numFmtId="2" fontId="14" fillId="7" borderId="60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right"/>
    </xf>
    <xf numFmtId="170" fontId="14" fillId="6" borderId="61" xfId="1" applyNumberFormat="1" applyFont="1" applyFill="1" applyBorder="1" applyAlignment="1">
      <alignment horizontal="center"/>
    </xf>
    <xf numFmtId="2" fontId="14" fillId="6" borderId="61" xfId="1" applyNumberFormat="1" applyFont="1" applyFill="1" applyBorder="1" applyAlignment="1">
      <alignment horizontal="center"/>
    </xf>
    <xf numFmtId="0" fontId="11" fillId="2" borderId="14" xfId="1" applyFont="1" applyFill="1" applyBorder="1" applyAlignment="1">
      <alignment horizontal="right"/>
    </xf>
    <xf numFmtId="0" fontId="11" fillId="2" borderId="13" xfId="1" applyFont="1" applyFill="1" applyBorder="1"/>
    <xf numFmtId="10" fontId="11" fillId="2" borderId="0" xfId="1" applyNumberFormat="1" applyFont="1" applyFill="1" applyAlignment="1">
      <alignment horizontal="center"/>
    </xf>
    <xf numFmtId="0" fontId="14" fillId="7" borderId="62" xfId="1" applyFont="1" applyFill="1" applyBorder="1" applyAlignment="1">
      <alignment horizontal="center"/>
    </xf>
    <xf numFmtId="0" fontId="14" fillId="7" borderId="29" xfId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1" fillId="2" borderId="43" xfId="1" applyFont="1" applyFill="1" applyBorder="1"/>
    <xf numFmtId="10" fontId="14" fillId="6" borderId="49" xfId="1" applyNumberFormat="1" applyFont="1" applyFill="1" applyBorder="1" applyAlignment="1">
      <alignment horizontal="center"/>
    </xf>
    <xf numFmtId="10" fontId="14" fillId="6" borderId="61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31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170" fontId="14" fillId="7" borderId="54" xfId="1" applyNumberFormat="1" applyFont="1" applyFill="1" applyBorder="1" applyAlignment="1">
      <alignment horizontal="center"/>
    </xf>
    <xf numFmtId="2" fontId="14" fillId="7" borderId="59" xfId="1" applyNumberFormat="1" applyFont="1" applyFill="1" applyBorder="1" applyAlignment="1">
      <alignment horizontal="center"/>
    </xf>
    <xf numFmtId="169" fontId="11" fillId="2" borderId="16" xfId="1" applyNumberFormat="1" applyFont="1" applyFill="1" applyBorder="1" applyAlignment="1">
      <alignment horizontal="right"/>
    </xf>
    <xf numFmtId="0" fontId="11" fillId="2" borderId="23" xfId="1" applyFont="1" applyFill="1" applyBorder="1" applyAlignment="1">
      <alignment horizontal="center"/>
    </xf>
    <xf numFmtId="0" fontId="14" fillId="3" borderId="31" xfId="1" applyFont="1" applyFill="1" applyBorder="1" applyAlignment="1" applyProtection="1">
      <alignment horizontal="center"/>
      <protection locked="0"/>
    </xf>
    <xf numFmtId="172" fontId="11" fillId="2" borderId="31" xfId="1" applyNumberFormat="1" applyFont="1" applyFill="1" applyBorder="1" applyAlignment="1">
      <alignment horizontal="center"/>
    </xf>
    <xf numFmtId="172" fontId="11" fillId="2" borderId="48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" fontId="14" fillId="3" borderId="15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" fontId="14" fillId="3" borderId="14" xfId="1" applyNumberFormat="1" applyFont="1" applyFill="1" applyBorder="1" applyAlignment="1" applyProtection="1">
      <alignment horizontal="center"/>
      <protection locked="0"/>
    </xf>
    <xf numFmtId="0" fontId="11" fillId="2" borderId="14" xfId="1" applyFont="1" applyFill="1" applyBorder="1" applyAlignment="1">
      <alignment horizontal="center"/>
    </xf>
    <xf numFmtId="172" fontId="11" fillId="2" borderId="25" xfId="1" applyNumberFormat="1" applyFont="1" applyFill="1" applyBorder="1" applyAlignment="1">
      <alignment horizontal="center"/>
    </xf>
    <xf numFmtId="166" fontId="11" fillId="2" borderId="13" xfId="1" applyNumberFormat="1" applyFont="1" applyFill="1" applyBorder="1" applyAlignment="1">
      <alignment horizontal="center"/>
    </xf>
    <xf numFmtId="1" fontId="14" fillId="3" borderId="13" xfId="1" applyNumberFormat="1" applyFont="1" applyFill="1" applyBorder="1" applyAlignment="1" applyProtection="1">
      <alignment horizontal="center"/>
      <protection locked="0"/>
    </xf>
    <xf numFmtId="0" fontId="11" fillId="2" borderId="13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0" fontId="12" fillId="2" borderId="13" xfId="1" applyFont="1" applyFill="1" applyBorder="1" applyAlignment="1">
      <alignment horizontal="center"/>
    </xf>
    <xf numFmtId="0" fontId="14" fillId="3" borderId="25" xfId="1" applyFont="1" applyFill="1" applyBorder="1" applyAlignment="1" applyProtection="1">
      <alignment horizontal="center"/>
      <protection locked="0"/>
    </xf>
    <xf numFmtId="0" fontId="11" fillId="2" borderId="21" xfId="1" applyFont="1" applyFill="1" applyBorder="1" applyAlignment="1">
      <alignment horizontal="right"/>
    </xf>
    <xf numFmtId="0" fontId="3" fillId="2" borderId="0" xfId="1" applyFont="1" applyFill="1"/>
    <xf numFmtId="0" fontId="2" fillId="2" borderId="0" xfId="1" applyFont="1" applyFill="1" applyAlignment="1">
      <alignment horizontal="center"/>
    </xf>
    <xf numFmtId="169" fontId="11" fillId="2" borderId="0" xfId="1" applyNumberFormat="1" applyFont="1" applyFill="1" applyAlignment="1">
      <alignment horizontal="center"/>
    </xf>
    <xf numFmtId="0" fontId="12" fillId="7" borderId="17" xfId="1" applyFont="1" applyFill="1" applyBorder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2" fontId="2" fillId="2" borderId="0" xfId="1" applyNumberFormat="1" applyFont="1" applyFill="1" applyAlignment="1">
      <alignment horizontal="center"/>
    </xf>
    <xf numFmtId="169" fontId="12" fillId="7" borderId="16" xfId="1" applyNumberFormat="1" applyFont="1" applyFill="1" applyBorder="1" applyAlignment="1">
      <alignment horizontal="center"/>
    </xf>
    <xf numFmtId="0" fontId="11" fillId="2" borderId="16" xfId="1" applyFont="1" applyFill="1" applyBorder="1" applyAlignment="1">
      <alignment horizontal="right"/>
    </xf>
    <xf numFmtId="0" fontId="12" fillId="2" borderId="0" xfId="1" applyFont="1" applyFill="1" applyAlignment="1">
      <alignment horizontal="center" wrapText="1"/>
    </xf>
    <xf numFmtId="2" fontId="11" fillId="7" borderId="28" xfId="1" applyNumberFormat="1" applyFont="1" applyFill="1" applyBorder="1" applyAlignment="1">
      <alignment horizontal="center"/>
    </xf>
    <xf numFmtId="0" fontId="11" fillId="2" borderId="55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2" fontId="11" fillId="6" borderId="49" xfId="1" applyNumberFormat="1" applyFont="1" applyFill="1" applyBorder="1" applyAlignment="1">
      <alignment horizontal="center"/>
    </xf>
    <xf numFmtId="0" fontId="11" fillId="2" borderId="26" xfId="1" applyFont="1" applyFill="1" applyBorder="1" applyAlignment="1">
      <alignment horizontal="right"/>
    </xf>
    <xf numFmtId="166" fontId="11" fillId="7" borderId="49" xfId="1" applyNumberFormat="1" applyFont="1" applyFill="1" applyBorder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166" fontId="11" fillId="6" borderId="49" xfId="1" applyNumberFormat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16" xfId="1" applyFont="1" applyFill="1" applyBorder="1" applyAlignment="1" applyProtection="1">
      <alignment horizontal="center"/>
      <protection locked="0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63" xfId="1" applyFont="1" applyFill="1" applyBorder="1" applyAlignment="1">
      <alignment horizontal="right"/>
    </xf>
    <xf numFmtId="169" fontId="12" fillId="6" borderId="15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69" fontId="12" fillId="6" borderId="38" xfId="1" applyNumberFormat="1" applyFont="1" applyFill="1" applyBorder="1" applyAlignment="1">
      <alignment horizontal="center"/>
    </xf>
    <xf numFmtId="1" fontId="12" fillId="6" borderId="64" xfId="1" applyNumberFormat="1" applyFont="1" applyFill="1" applyBorder="1" applyAlignment="1">
      <alignment horizontal="center"/>
    </xf>
    <xf numFmtId="0" fontId="11" fillId="2" borderId="15" xfId="1" applyFont="1" applyFill="1" applyBorder="1"/>
    <xf numFmtId="169" fontId="11" fillId="2" borderId="36" xfId="1" applyNumberFormat="1" applyFont="1" applyFill="1" applyBorder="1" applyAlignment="1">
      <alignment horizontal="center"/>
    </xf>
    <xf numFmtId="169" fontId="14" fillId="3" borderId="34" xfId="1" applyNumberFormat="1" applyFont="1" applyFill="1" applyBorder="1" applyAlignment="1" applyProtection="1">
      <alignment horizontal="center"/>
      <protection locked="0"/>
    </xf>
    <xf numFmtId="169" fontId="11" fillId="2" borderId="35" xfId="1" applyNumberFormat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0" fontId="11" fillId="2" borderId="7" xfId="1" applyFont="1" applyFill="1" applyBorder="1" applyAlignment="1">
      <alignment horizontal="center"/>
    </xf>
    <xf numFmtId="169" fontId="11" fillId="2" borderId="24" xfId="1" applyNumberFormat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69" fontId="11" fillId="2" borderId="32" xfId="1" applyNumberFormat="1" applyFont="1" applyFill="1" applyBorder="1" applyAlignment="1">
      <alignment horizontal="center"/>
    </xf>
    <xf numFmtId="0" fontId="15" fillId="2" borderId="13" xfId="1" applyFont="1" applyFill="1" applyBorder="1"/>
    <xf numFmtId="169" fontId="11" fillId="2" borderId="28" xfId="1" applyNumberFormat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69" fontId="11" fillId="2" borderId="27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5" fillId="2" borderId="1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168" fontId="12" fillId="2" borderId="0" xfId="1" applyNumberFormat="1" applyFont="1" applyFill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4" fillId="3" borderId="0" xfId="1" applyNumberFormat="1" applyFont="1" applyFill="1" applyAlignment="1" applyProtection="1">
      <alignment horizontal="center"/>
      <protection locked="0"/>
    </xf>
    <xf numFmtId="0" fontId="18" fillId="2" borderId="0" xfId="1" applyFont="1" applyFill="1"/>
    <xf numFmtId="0" fontId="16" fillId="2" borderId="0" xfId="1" applyFont="1" applyFill="1"/>
    <xf numFmtId="0" fontId="12" fillId="2" borderId="0" xfId="1" applyFont="1" applyFill="1" applyAlignment="1">
      <alignment horizontal="center"/>
    </xf>
    <xf numFmtId="0" fontId="13" fillId="3" borderId="0" xfId="1" applyFont="1" applyFill="1" applyAlignment="1" applyProtection="1">
      <alignment horizontal="center"/>
      <protection locked="0"/>
    </xf>
    <xf numFmtId="0" fontId="14" fillId="7" borderId="60" xfId="1" applyFont="1" applyFill="1" applyBorder="1" applyAlignment="1">
      <alignment horizontal="center"/>
    </xf>
    <xf numFmtId="172" fontId="14" fillId="7" borderId="33" xfId="1" applyNumberFormat="1" applyFont="1" applyFill="1" applyBorder="1" applyAlignment="1">
      <alignment horizontal="center"/>
    </xf>
    <xf numFmtId="2" fontId="14" fillId="7" borderId="33" xfId="1" applyNumberFormat="1" applyFont="1" applyFill="1" applyBorder="1" applyAlignment="1">
      <alignment horizontal="center"/>
    </xf>
    <xf numFmtId="0" fontId="11" fillId="2" borderId="65" xfId="1" applyFont="1" applyFill="1" applyBorder="1" applyAlignment="1">
      <alignment horizontal="right"/>
    </xf>
    <xf numFmtId="172" fontId="11" fillId="2" borderId="15" xfId="1" applyNumberFormat="1" applyFont="1" applyFill="1" applyBorder="1" applyAlignment="1">
      <alignment horizontal="center" vertical="center"/>
    </xf>
    <xf numFmtId="166" fontId="11" fillId="2" borderId="43" xfId="1" applyNumberFormat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72" fontId="11" fillId="2" borderId="14" xfId="1" applyNumberFormat="1" applyFont="1" applyFill="1" applyBorder="1" applyAlignment="1">
      <alignment horizontal="center" vertical="center"/>
    </xf>
    <xf numFmtId="166" fontId="11" fillId="2" borderId="23" xfId="1" applyNumberFormat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166" fontId="11" fillId="2" borderId="21" xfId="1" applyNumberFormat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0" fontId="13" fillId="2" borderId="31" xfId="1" applyFont="1" applyFill="1" applyBorder="1" applyAlignment="1">
      <alignment horizontal="center"/>
    </xf>
    <xf numFmtId="172" fontId="11" fillId="2" borderId="13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2" fontId="12" fillId="2" borderId="13" xfId="1" applyNumberFormat="1" applyFont="1" applyFill="1" applyBorder="1" applyAlignment="1">
      <alignment horizontal="center"/>
    </xf>
    <xf numFmtId="166" fontId="12" fillId="2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left"/>
    </xf>
    <xf numFmtId="173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left"/>
    </xf>
    <xf numFmtId="0" fontId="11" fillId="7" borderId="15" xfId="1" applyFont="1" applyFill="1" applyBorder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169" fontId="12" fillId="7" borderId="13" xfId="1" applyNumberFormat="1" applyFont="1" applyFill="1" applyBorder="1" applyAlignment="1">
      <alignment horizontal="center"/>
    </xf>
    <xf numFmtId="2" fontId="11" fillId="6" borderId="15" xfId="1" applyNumberFormat="1" applyFont="1" applyFill="1" applyBorder="1" applyAlignment="1">
      <alignment horizontal="center"/>
    </xf>
    <xf numFmtId="0" fontId="11" fillId="2" borderId="30" xfId="1" applyFont="1" applyFill="1" applyBorder="1" applyAlignment="1">
      <alignment horizontal="right"/>
    </xf>
    <xf numFmtId="166" fontId="11" fillId="2" borderId="0" xfId="1" applyNumberFormat="1" applyFont="1" applyFill="1" applyAlignment="1">
      <alignment horizontal="center"/>
    </xf>
    <xf numFmtId="166" fontId="11" fillId="2" borderId="0" xfId="1" applyNumberFormat="1" applyFont="1" applyFill="1"/>
    <xf numFmtId="166" fontId="14" fillId="3" borderId="41" xfId="1" applyNumberFormat="1" applyFont="1" applyFill="1" applyBorder="1" applyAlignment="1" applyProtection="1">
      <alignment horizontal="center"/>
      <protection locked="0"/>
    </xf>
    <xf numFmtId="0" fontId="11" fillId="2" borderId="42" xfId="1" applyFont="1" applyFill="1" applyBorder="1" applyAlignment="1">
      <alignment horizontal="right"/>
    </xf>
    <xf numFmtId="166" fontId="11" fillId="6" borderId="41" xfId="1" applyNumberFormat="1" applyFont="1" applyFill="1" applyBorder="1" applyAlignment="1">
      <alignment horizontal="center"/>
    </xf>
    <xf numFmtId="0" fontId="11" fillId="2" borderId="11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right"/>
    </xf>
    <xf numFmtId="169" fontId="12" fillId="6" borderId="39" xfId="1" applyNumberFormat="1" applyFont="1" applyFill="1" applyBorder="1" applyAlignment="1">
      <alignment horizontal="center"/>
    </xf>
    <xf numFmtId="1" fontId="12" fillId="6" borderId="37" xfId="1" applyNumberFormat="1" applyFont="1" applyFill="1" applyBorder="1" applyAlignment="1">
      <alignment horizontal="center"/>
    </xf>
    <xf numFmtId="0" fontId="11" fillId="2" borderId="31" xfId="1" applyFont="1" applyFill="1" applyBorder="1" applyAlignment="1">
      <alignment horizontal="right"/>
    </xf>
    <xf numFmtId="0" fontId="12" fillId="2" borderId="0" xfId="1" applyFont="1" applyFill="1" applyAlignment="1">
      <alignment vertical="center" wrapText="1"/>
    </xf>
    <xf numFmtId="0" fontId="11" fillId="2" borderId="33" xfId="1" applyFont="1" applyFill="1" applyBorder="1" applyAlignment="1">
      <alignment horizontal="center"/>
    </xf>
    <xf numFmtId="0" fontId="15" fillId="2" borderId="0" xfId="1" applyFont="1" applyFill="1"/>
    <xf numFmtId="0" fontId="11" fillId="2" borderId="29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15" fontId="11" fillId="2" borderId="0" xfId="1" applyNumberFormat="1" applyFont="1" applyFill="1" applyAlignment="1">
      <alignment horizontal="left"/>
    </xf>
    <xf numFmtId="0" fontId="12" fillId="2" borderId="0" xfId="1" applyFont="1" applyFill="1"/>
    <xf numFmtId="0" fontId="13" fillId="2" borderId="0" xfId="1" applyFont="1" applyFill="1"/>
    <xf numFmtId="174" fontId="13" fillId="3" borderId="0" xfId="1" applyNumberFormat="1" applyFont="1" applyFill="1" applyAlignment="1" applyProtection="1">
      <alignment horizontal="center"/>
      <protection locked="0"/>
    </xf>
    <xf numFmtId="0" fontId="11" fillId="3" borderId="0" xfId="1" applyFont="1" applyFill="1" applyProtection="1"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4" fillId="2" borderId="0" xfId="1" applyFont="1" applyFill="1" applyAlignment="1" applyProtection="1">
      <alignment horizontal="right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2" fillId="2" borderId="10" xfId="1" applyFont="1" applyFill="1" applyBorder="1" applyAlignment="1">
      <alignment horizontal="center"/>
    </xf>
    <xf numFmtId="0" fontId="12" fillId="2" borderId="51" xfId="1" applyFont="1" applyFill="1" applyBorder="1" applyAlignment="1">
      <alignment horizontal="center" vertical="center"/>
    </xf>
    <xf numFmtId="0" fontId="12" fillId="2" borderId="5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10" fontId="25" fillId="2" borderId="14" xfId="1" applyNumberFormat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0" fontId="17" fillId="2" borderId="10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2" fillId="2" borderId="43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</cellXfs>
  <cellStyles count="2">
    <cellStyle name="Normal" xfId="0" builtinId="0"/>
    <cellStyle name="Normal 2" xfId="1"/>
  </cellStyles>
  <dxfs count="3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HK~1/AppData/Local/Temp/NDQD2016061177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Torsemide"/>
    </sheetNames>
    <sheetDataSet>
      <sheetData sheetId="0" refreshError="1"/>
      <sheetData sheetId="1">
        <row r="46">
          <cell r="C46">
            <v>202.89550000000003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2" zoomScale="46" zoomScaleNormal="40" zoomScalePageLayoutView="46" workbookViewId="0">
      <selection activeCell="A126" sqref="A126"/>
    </sheetView>
  </sheetViews>
  <sheetFormatPr defaultColWidth="9.140625" defaultRowHeight="13.5" x14ac:dyDescent="0.25"/>
  <cols>
    <col min="1" max="1" width="55.42578125" style="282" customWidth="1"/>
    <col min="2" max="2" width="33.7109375" style="282" customWidth="1"/>
    <col min="3" max="3" width="42.28515625" style="282" customWidth="1"/>
    <col min="4" max="4" width="30.5703125" style="282" customWidth="1"/>
    <col min="5" max="5" width="39.85546875" style="282" customWidth="1"/>
    <col min="6" max="6" width="30.7109375" style="282" customWidth="1"/>
    <col min="7" max="7" width="39.85546875" style="282" customWidth="1"/>
    <col min="8" max="8" width="30" style="282" customWidth="1"/>
    <col min="9" max="9" width="30.28515625" style="282" hidden="1" customWidth="1"/>
    <col min="10" max="10" width="30.42578125" style="282" customWidth="1"/>
    <col min="11" max="11" width="21.28515625" style="282" customWidth="1"/>
    <col min="12" max="12" width="9.140625" style="282"/>
    <col min="13" max="16384" width="9.140625" style="281"/>
  </cols>
  <sheetData>
    <row r="1" spans="1:9" ht="18.75" customHeight="1" x14ac:dyDescent="0.25">
      <c r="A1" s="465" t="s">
        <v>45</v>
      </c>
      <c r="B1" s="465"/>
      <c r="C1" s="465"/>
      <c r="D1" s="465"/>
      <c r="E1" s="465"/>
      <c r="F1" s="465"/>
      <c r="G1" s="465"/>
      <c r="H1" s="465"/>
      <c r="I1" s="465"/>
    </row>
    <row r="2" spans="1:9" ht="18.75" customHeight="1" x14ac:dyDescent="0.25">
      <c r="A2" s="465"/>
      <c r="B2" s="465"/>
      <c r="C2" s="465"/>
      <c r="D2" s="465"/>
      <c r="E2" s="465"/>
      <c r="F2" s="465"/>
      <c r="G2" s="465"/>
      <c r="H2" s="465"/>
      <c r="I2" s="465"/>
    </row>
    <row r="3" spans="1:9" ht="18.75" customHeight="1" x14ac:dyDescent="0.25">
      <c r="A3" s="465"/>
      <c r="B3" s="465"/>
      <c r="C3" s="465"/>
      <c r="D3" s="465"/>
      <c r="E3" s="465"/>
      <c r="F3" s="465"/>
      <c r="G3" s="465"/>
      <c r="H3" s="465"/>
      <c r="I3" s="465"/>
    </row>
    <row r="4" spans="1:9" ht="18.75" customHeight="1" x14ac:dyDescent="0.25">
      <c r="A4" s="465"/>
      <c r="B4" s="465"/>
      <c r="C4" s="465"/>
      <c r="D4" s="465"/>
      <c r="E4" s="465"/>
      <c r="F4" s="465"/>
      <c r="G4" s="465"/>
      <c r="H4" s="465"/>
      <c r="I4" s="465"/>
    </row>
    <row r="5" spans="1:9" ht="18.75" customHeight="1" x14ac:dyDescent="0.25">
      <c r="A5" s="465"/>
      <c r="B5" s="465"/>
      <c r="C5" s="465"/>
      <c r="D5" s="465"/>
      <c r="E5" s="465"/>
      <c r="F5" s="465"/>
      <c r="G5" s="465"/>
      <c r="H5" s="465"/>
      <c r="I5" s="465"/>
    </row>
    <row r="6" spans="1:9" ht="18.75" customHeight="1" x14ac:dyDescent="0.25">
      <c r="A6" s="465"/>
      <c r="B6" s="465"/>
      <c r="C6" s="465"/>
      <c r="D6" s="465"/>
      <c r="E6" s="465"/>
      <c r="F6" s="465"/>
      <c r="G6" s="465"/>
      <c r="H6" s="465"/>
      <c r="I6" s="465"/>
    </row>
    <row r="7" spans="1:9" ht="18.75" customHeight="1" x14ac:dyDescent="0.25">
      <c r="A7" s="465"/>
      <c r="B7" s="465"/>
      <c r="C7" s="465"/>
      <c r="D7" s="465"/>
      <c r="E7" s="465"/>
      <c r="F7" s="465"/>
      <c r="G7" s="465"/>
      <c r="H7" s="465"/>
      <c r="I7" s="465"/>
    </row>
    <row r="8" spans="1:9" x14ac:dyDescent="0.25">
      <c r="A8" s="466" t="s">
        <v>46</v>
      </c>
      <c r="B8" s="466"/>
      <c r="C8" s="466"/>
      <c r="D8" s="466"/>
      <c r="E8" s="466"/>
      <c r="F8" s="466"/>
      <c r="G8" s="466"/>
      <c r="H8" s="466"/>
      <c r="I8" s="466"/>
    </row>
    <row r="9" spans="1:9" x14ac:dyDescent="0.25">
      <c r="A9" s="466"/>
      <c r="B9" s="466"/>
      <c r="C9" s="466"/>
      <c r="D9" s="466"/>
      <c r="E9" s="466"/>
      <c r="F9" s="466"/>
      <c r="G9" s="466"/>
      <c r="H9" s="466"/>
      <c r="I9" s="466"/>
    </row>
    <row r="10" spans="1:9" x14ac:dyDescent="0.25">
      <c r="A10" s="466"/>
      <c r="B10" s="466"/>
      <c r="C10" s="466"/>
      <c r="D10" s="466"/>
      <c r="E10" s="466"/>
      <c r="F10" s="466"/>
      <c r="G10" s="466"/>
      <c r="H10" s="466"/>
      <c r="I10" s="466"/>
    </row>
    <row r="11" spans="1:9" x14ac:dyDescent="0.25">
      <c r="A11" s="466"/>
      <c r="B11" s="466"/>
      <c r="C11" s="466"/>
      <c r="D11" s="466"/>
      <c r="E11" s="466"/>
      <c r="F11" s="466"/>
      <c r="G11" s="466"/>
      <c r="H11" s="466"/>
      <c r="I11" s="466"/>
    </row>
    <row r="12" spans="1:9" x14ac:dyDescent="0.25">
      <c r="A12" s="466"/>
      <c r="B12" s="466"/>
      <c r="C12" s="466"/>
      <c r="D12" s="466"/>
      <c r="E12" s="466"/>
      <c r="F12" s="466"/>
      <c r="G12" s="466"/>
      <c r="H12" s="466"/>
      <c r="I12" s="466"/>
    </row>
    <row r="13" spans="1:9" x14ac:dyDescent="0.25">
      <c r="A13" s="466"/>
      <c r="B13" s="466"/>
      <c r="C13" s="466"/>
      <c r="D13" s="466"/>
      <c r="E13" s="466"/>
      <c r="F13" s="466"/>
      <c r="G13" s="466"/>
      <c r="H13" s="466"/>
      <c r="I13" s="466"/>
    </row>
    <row r="14" spans="1:9" x14ac:dyDescent="0.25">
      <c r="A14" s="466"/>
      <c r="B14" s="466"/>
      <c r="C14" s="466"/>
      <c r="D14" s="466"/>
      <c r="E14" s="466"/>
      <c r="F14" s="466"/>
      <c r="G14" s="466"/>
      <c r="H14" s="466"/>
      <c r="I14" s="466"/>
    </row>
    <row r="15" spans="1:9" ht="19.5" customHeight="1" thickBot="1" x14ac:dyDescent="0.35">
      <c r="A15" s="283"/>
    </row>
    <row r="16" spans="1:9" ht="19.5" customHeight="1" thickBot="1" x14ac:dyDescent="0.35">
      <c r="A16" s="453" t="s">
        <v>31</v>
      </c>
      <c r="B16" s="454"/>
      <c r="C16" s="454"/>
      <c r="D16" s="454"/>
      <c r="E16" s="454"/>
      <c r="F16" s="454"/>
      <c r="G16" s="454"/>
      <c r="H16" s="455"/>
    </row>
    <row r="17" spans="1:14" ht="20.25" customHeight="1" x14ac:dyDescent="0.25">
      <c r="A17" s="456" t="s">
        <v>47</v>
      </c>
      <c r="B17" s="456"/>
      <c r="C17" s="456"/>
      <c r="D17" s="456"/>
      <c r="E17" s="456"/>
      <c r="F17" s="456"/>
      <c r="G17" s="456"/>
      <c r="H17" s="456"/>
    </row>
    <row r="18" spans="1:14" ht="26.25" customHeight="1" x14ac:dyDescent="0.4">
      <c r="A18" s="439" t="s">
        <v>33</v>
      </c>
      <c r="B18" s="457" t="s">
        <v>5</v>
      </c>
      <c r="C18" s="457"/>
      <c r="D18" s="445"/>
      <c r="E18" s="444"/>
      <c r="F18" s="440"/>
      <c r="G18" s="440"/>
      <c r="H18" s="440"/>
    </row>
    <row r="19" spans="1:14" ht="26.25" customHeight="1" x14ac:dyDescent="0.4">
      <c r="A19" s="439" t="s">
        <v>34</v>
      </c>
      <c r="B19" s="443" t="s">
        <v>7</v>
      </c>
      <c r="C19" s="440">
        <v>1</v>
      </c>
      <c r="D19" s="440"/>
      <c r="E19" s="440"/>
      <c r="F19" s="440"/>
      <c r="G19" s="440"/>
      <c r="H19" s="440"/>
    </row>
    <row r="20" spans="1:14" ht="26.25" customHeight="1" x14ac:dyDescent="0.4">
      <c r="A20" s="439" t="s">
        <v>35</v>
      </c>
      <c r="B20" s="458" t="s">
        <v>9</v>
      </c>
      <c r="C20" s="458"/>
      <c r="D20" s="440"/>
      <c r="E20" s="440"/>
      <c r="F20" s="440"/>
      <c r="G20" s="440"/>
      <c r="H20" s="440"/>
    </row>
    <row r="21" spans="1:14" ht="26.25" customHeight="1" x14ac:dyDescent="0.4">
      <c r="A21" s="439" t="s">
        <v>36</v>
      </c>
      <c r="B21" s="458" t="s">
        <v>153</v>
      </c>
      <c r="C21" s="458"/>
      <c r="D21" s="458"/>
      <c r="E21" s="458"/>
      <c r="F21" s="458"/>
      <c r="G21" s="458"/>
      <c r="H21" s="458"/>
      <c r="I21" s="442"/>
    </row>
    <row r="22" spans="1:14" ht="26.25" customHeight="1" x14ac:dyDescent="0.4">
      <c r="A22" s="439" t="s">
        <v>37</v>
      </c>
      <c r="B22" s="441" t="s">
        <v>154</v>
      </c>
      <c r="C22" s="440"/>
      <c r="D22" s="440"/>
      <c r="E22" s="440"/>
      <c r="F22" s="440"/>
      <c r="G22" s="440"/>
      <c r="H22" s="440"/>
    </row>
    <row r="23" spans="1:14" ht="26.25" customHeight="1" x14ac:dyDescent="0.4">
      <c r="A23" s="439" t="s">
        <v>38</v>
      </c>
      <c r="B23" s="441" t="s">
        <v>154</v>
      </c>
      <c r="C23" s="440"/>
      <c r="D23" s="440"/>
      <c r="E23" s="440"/>
      <c r="F23" s="440"/>
      <c r="G23" s="440"/>
      <c r="H23" s="440"/>
    </row>
    <row r="24" spans="1:14" ht="18.75" x14ac:dyDescent="0.3">
      <c r="A24" s="439"/>
      <c r="B24" s="438"/>
    </row>
    <row r="25" spans="1:14" ht="18.75" x14ac:dyDescent="0.3">
      <c r="A25" s="386" t="s">
        <v>1</v>
      </c>
      <c r="B25" s="438"/>
    </row>
    <row r="26" spans="1:14" ht="26.25" customHeight="1" x14ac:dyDescent="0.4">
      <c r="A26" s="288" t="s">
        <v>4</v>
      </c>
      <c r="B26" s="457" t="s">
        <v>124</v>
      </c>
      <c r="C26" s="457"/>
    </row>
    <row r="27" spans="1:14" ht="26.25" customHeight="1" x14ac:dyDescent="0.4">
      <c r="A27" s="296" t="s">
        <v>48</v>
      </c>
      <c r="B27" s="446" t="s">
        <v>125</v>
      </c>
      <c r="C27" s="446"/>
    </row>
    <row r="28" spans="1:14" ht="27" customHeight="1" thickBot="1" x14ac:dyDescent="0.45">
      <c r="A28" s="296" t="s">
        <v>6</v>
      </c>
      <c r="B28" s="358">
        <v>99.4</v>
      </c>
    </row>
    <row r="29" spans="1:14" s="387" customFormat="1" ht="27" customHeight="1" thickBot="1" x14ac:dyDescent="0.45">
      <c r="A29" s="296" t="s">
        <v>49</v>
      </c>
      <c r="B29" s="395">
        <v>0</v>
      </c>
      <c r="C29" s="447" t="s">
        <v>106</v>
      </c>
      <c r="D29" s="448"/>
      <c r="E29" s="448"/>
      <c r="F29" s="448"/>
      <c r="G29" s="449"/>
      <c r="I29" s="388"/>
      <c r="J29" s="388"/>
      <c r="K29" s="388"/>
      <c r="L29" s="388"/>
    </row>
    <row r="30" spans="1:14" s="387" customFormat="1" ht="19.5" customHeight="1" thickBot="1" x14ac:dyDescent="0.35">
      <c r="A30" s="296" t="s">
        <v>51</v>
      </c>
      <c r="B30" s="394">
        <f>B28-B29</f>
        <v>99.4</v>
      </c>
      <c r="C30" s="393"/>
      <c r="D30" s="393"/>
      <c r="E30" s="393"/>
      <c r="F30" s="393"/>
      <c r="G30" s="392"/>
      <c r="I30" s="388"/>
      <c r="J30" s="388"/>
      <c r="K30" s="388"/>
      <c r="L30" s="388"/>
    </row>
    <row r="31" spans="1:14" s="387" customFormat="1" ht="27" customHeight="1" thickBot="1" x14ac:dyDescent="0.45">
      <c r="A31" s="296" t="s">
        <v>52</v>
      </c>
      <c r="B31" s="391">
        <v>1</v>
      </c>
      <c r="C31" s="450" t="s">
        <v>53</v>
      </c>
      <c r="D31" s="451"/>
      <c r="E31" s="451"/>
      <c r="F31" s="451"/>
      <c r="G31" s="451"/>
      <c r="H31" s="452"/>
      <c r="I31" s="388"/>
      <c r="J31" s="388"/>
      <c r="K31" s="388"/>
      <c r="L31" s="388"/>
    </row>
    <row r="32" spans="1:14" s="387" customFormat="1" ht="27" customHeight="1" thickBot="1" x14ac:dyDescent="0.45">
      <c r="A32" s="296" t="s">
        <v>54</v>
      </c>
      <c r="B32" s="391">
        <v>1</v>
      </c>
      <c r="C32" s="450" t="s">
        <v>55</v>
      </c>
      <c r="D32" s="451"/>
      <c r="E32" s="451"/>
      <c r="F32" s="451"/>
      <c r="G32" s="451"/>
      <c r="H32" s="452"/>
      <c r="I32" s="388"/>
      <c r="J32" s="388"/>
      <c r="K32" s="388"/>
      <c r="L32" s="433"/>
      <c r="M32" s="433"/>
      <c r="N32" s="435"/>
    </row>
    <row r="33" spans="1:14" s="387" customFormat="1" ht="17.25" customHeight="1" x14ac:dyDescent="0.3">
      <c r="A33" s="296"/>
      <c r="B33" s="390"/>
      <c r="C33" s="297"/>
      <c r="D33" s="297"/>
      <c r="E33" s="297"/>
      <c r="F33" s="297"/>
      <c r="G33" s="297"/>
      <c r="H33" s="297"/>
      <c r="I33" s="388"/>
      <c r="J33" s="388"/>
      <c r="K33" s="388"/>
      <c r="L33" s="433"/>
      <c r="M33" s="433"/>
      <c r="N33" s="435"/>
    </row>
    <row r="34" spans="1:14" s="387" customFormat="1" ht="18.75" x14ac:dyDescent="0.3">
      <c r="A34" s="296" t="s">
        <v>56</v>
      </c>
      <c r="B34" s="389">
        <f>B31/B32</f>
        <v>1</v>
      </c>
      <c r="C34" s="283" t="s">
        <v>57</v>
      </c>
      <c r="D34" s="283"/>
      <c r="E34" s="283"/>
      <c r="F34" s="283"/>
      <c r="G34" s="283"/>
      <c r="I34" s="388"/>
      <c r="J34" s="388"/>
      <c r="K34" s="388"/>
      <c r="L34" s="433"/>
      <c r="M34" s="433"/>
      <c r="N34" s="435"/>
    </row>
    <row r="35" spans="1:14" s="387" customFormat="1" ht="19.5" customHeight="1" thickBot="1" x14ac:dyDescent="0.35">
      <c r="A35" s="296"/>
      <c r="B35" s="394"/>
      <c r="G35" s="283"/>
      <c r="I35" s="388"/>
      <c r="J35" s="388"/>
      <c r="K35" s="388"/>
      <c r="L35" s="433"/>
      <c r="M35" s="433"/>
      <c r="N35" s="435"/>
    </row>
    <row r="36" spans="1:14" s="387" customFormat="1" ht="27" customHeight="1" thickBot="1" x14ac:dyDescent="0.45">
      <c r="A36" s="336" t="s">
        <v>139</v>
      </c>
      <c r="B36" s="335">
        <v>50</v>
      </c>
      <c r="C36" s="283"/>
      <c r="D36" s="472" t="s">
        <v>59</v>
      </c>
      <c r="E36" s="473"/>
      <c r="F36" s="472" t="s">
        <v>60</v>
      </c>
      <c r="G36" s="474"/>
      <c r="J36" s="388"/>
      <c r="K36" s="388"/>
      <c r="L36" s="433"/>
      <c r="M36" s="433"/>
      <c r="N36" s="435"/>
    </row>
    <row r="37" spans="1:14" s="387" customFormat="1" ht="27" customHeight="1" thickBot="1" x14ac:dyDescent="0.45">
      <c r="A37" s="315" t="s">
        <v>61</v>
      </c>
      <c r="B37" s="320">
        <v>1</v>
      </c>
      <c r="C37" s="412" t="s">
        <v>62</v>
      </c>
      <c r="D37" s="382" t="s">
        <v>63</v>
      </c>
      <c r="E37" s="383" t="s">
        <v>64</v>
      </c>
      <c r="F37" s="382" t="s">
        <v>63</v>
      </c>
      <c r="G37" s="437" t="s">
        <v>64</v>
      </c>
      <c r="I37" s="380" t="s">
        <v>138</v>
      </c>
      <c r="J37" s="388"/>
      <c r="K37" s="388"/>
      <c r="L37" s="433"/>
      <c r="M37" s="433"/>
      <c r="N37" s="435"/>
    </row>
    <row r="38" spans="1:14" s="387" customFormat="1" ht="26.25" customHeight="1" x14ac:dyDescent="0.4">
      <c r="A38" s="315" t="s">
        <v>65</v>
      </c>
      <c r="B38" s="320">
        <v>1</v>
      </c>
      <c r="C38" s="436">
        <v>1</v>
      </c>
      <c r="D38" s="377">
        <v>65603148</v>
      </c>
      <c r="E38" s="378">
        <f>IF(ISBLANK(D38),"-",$D$48/$D$45*D38)</f>
        <v>72327827.788649693</v>
      </c>
      <c r="F38" s="377">
        <v>73057129</v>
      </c>
      <c r="G38" s="376">
        <f>IF(ISBLANK(F38),"-",$D$48/$F$45*F38)</f>
        <v>73388035.652758271</v>
      </c>
      <c r="I38" s="375"/>
      <c r="J38" s="388"/>
      <c r="K38" s="388"/>
      <c r="L38" s="433"/>
      <c r="M38" s="433"/>
      <c r="N38" s="435"/>
    </row>
    <row r="39" spans="1:14" s="387" customFormat="1" ht="26.25" customHeight="1" x14ac:dyDescent="0.4">
      <c r="A39" s="315" t="s">
        <v>66</v>
      </c>
      <c r="B39" s="320">
        <v>1</v>
      </c>
      <c r="C39" s="314">
        <v>2</v>
      </c>
      <c r="D39" s="373">
        <v>65545083</v>
      </c>
      <c r="E39" s="374">
        <f>IF(ISBLANK(D39),"-",$D$48/$D$45*D39)</f>
        <v>72263810.810065866</v>
      </c>
      <c r="F39" s="373">
        <v>72885022</v>
      </c>
      <c r="G39" s="372">
        <f>IF(ISBLANK(F39),"-",$D$48/$F$45*F39)</f>
        <v>73215149.107324913</v>
      </c>
      <c r="I39" s="476">
        <f>ABS((F43/D43*D42)-F42)/D42</f>
        <v>1.4742682203431738E-2</v>
      </c>
      <c r="J39" s="388"/>
      <c r="K39" s="388"/>
      <c r="L39" s="433"/>
      <c r="M39" s="433"/>
      <c r="N39" s="435"/>
    </row>
    <row r="40" spans="1:14" ht="26.25" customHeight="1" x14ac:dyDescent="0.4">
      <c r="A40" s="315" t="s">
        <v>67</v>
      </c>
      <c r="B40" s="320">
        <v>1</v>
      </c>
      <c r="C40" s="314">
        <v>3</v>
      </c>
      <c r="D40" s="373">
        <v>65608380</v>
      </c>
      <c r="E40" s="374">
        <f>IF(ISBLANK(D40),"-",$D$48/$D$45*D40)</f>
        <v>72333596.097130716</v>
      </c>
      <c r="F40" s="373">
        <v>72905688</v>
      </c>
      <c r="G40" s="372">
        <f>IF(ISBLANK(F40),"-",$D$48/$F$45*F40)</f>
        <v>73235908.71238412</v>
      </c>
      <c r="I40" s="476"/>
      <c r="L40" s="433"/>
      <c r="M40" s="433"/>
      <c r="N40" s="283"/>
    </row>
    <row r="41" spans="1:14" ht="27" customHeight="1" thickBot="1" x14ac:dyDescent="0.45">
      <c r="A41" s="315" t="s">
        <v>68</v>
      </c>
      <c r="B41" s="320">
        <v>1</v>
      </c>
      <c r="C41" s="434">
        <v>4</v>
      </c>
      <c r="D41" s="370"/>
      <c r="E41" s="369" t="str">
        <f>IF(ISBLANK(D41),"-",$D$48/$D$45*D41)</f>
        <v>-</v>
      </c>
      <c r="F41" s="370"/>
      <c r="G41" s="367" t="str">
        <f>IF(ISBLANK(F41),"-",$D$48/$F$45*F41)</f>
        <v>-</v>
      </c>
      <c r="I41" s="366"/>
      <c r="L41" s="433"/>
      <c r="M41" s="433"/>
      <c r="N41" s="283"/>
    </row>
    <row r="42" spans="1:14" ht="27" customHeight="1" thickBot="1" x14ac:dyDescent="0.45">
      <c r="A42" s="315" t="s">
        <v>69</v>
      </c>
      <c r="B42" s="320">
        <v>1</v>
      </c>
      <c r="C42" s="432" t="s">
        <v>70</v>
      </c>
      <c r="D42" s="431">
        <f>AVERAGE(D38:D41)</f>
        <v>65585537</v>
      </c>
      <c r="E42" s="364">
        <f>AVERAGE(E38:E41)</f>
        <v>72308411.565282091</v>
      </c>
      <c r="F42" s="431">
        <f>AVERAGE(F38:F41)</f>
        <v>72949279.666666672</v>
      </c>
      <c r="G42" s="430">
        <f>AVERAGE(G38:G41)</f>
        <v>73279697.824155763</v>
      </c>
      <c r="H42" s="338"/>
    </row>
    <row r="43" spans="1:14" ht="26.25" customHeight="1" x14ac:dyDescent="0.4">
      <c r="A43" s="315" t="s">
        <v>71</v>
      </c>
      <c r="B43" s="320">
        <v>1</v>
      </c>
      <c r="C43" s="429" t="s">
        <v>152</v>
      </c>
      <c r="D43" s="359">
        <v>18.25</v>
      </c>
      <c r="E43" s="283"/>
      <c r="F43" s="359">
        <v>20.03</v>
      </c>
      <c r="H43" s="338"/>
    </row>
    <row r="44" spans="1:14" ht="26.25" customHeight="1" x14ac:dyDescent="0.4">
      <c r="A44" s="315" t="s">
        <v>73</v>
      </c>
      <c r="B44" s="320">
        <v>1</v>
      </c>
      <c r="C44" s="428" t="s">
        <v>151</v>
      </c>
      <c r="D44" s="357">
        <f>D43*$B$34</f>
        <v>18.25</v>
      </c>
      <c r="E44" s="284"/>
      <c r="F44" s="357">
        <f>F43*$B$34</f>
        <v>20.03</v>
      </c>
      <c r="H44" s="338"/>
    </row>
    <row r="45" spans="1:14" ht="19.5" customHeight="1" thickBot="1" x14ac:dyDescent="0.35">
      <c r="A45" s="315" t="s">
        <v>75</v>
      </c>
      <c r="B45" s="314">
        <f>(B44/B43)*(B42/B41)*(B40/B39)*(B38/B37)*B36</f>
        <v>50</v>
      </c>
      <c r="C45" s="428" t="s">
        <v>76</v>
      </c>
      <c r="D45" s="355">
        <f>D44*$B$30/100</f>
        <v>18.140500000000003</v>
      </c>
      <c r="E45" s="285"/>
      <c r="F45" s="355">
        <f>F44*$B$30/100</f>
        <v>19.909820000000003</v>
      </c>
      <c r="H45" s="338"/>
    </row>
    <row r="46" spans="1:14" ht="19.5" customHeight="1" thickBot="1" x14ac:dyDescent="0.35">
      <c r="A46" s="467" t="s">
        <v>77</v>
      </c>
      <c r="B46" s="468"/>
      <c r="C46" s="428" t="s">
        <v>78</v>
      </c>
      <c r="D46" s="427">
        <f>D45/$B$45</f>
        <v>0.36281000000000008</v>
      </c>
      <c r="E46" s="423"/>
      <c r="F46" s="353">
        <f>F45/$B$45</f>
        <v>0.39819640000000006</v>
      </c>
      <c r="H46" s="338"/>
    </row>
    <row r="47" spans="1:14" ht="27" customHeight="1" thickBot="1" x14ac:dyDescent="0.45">
      <c r="A47" s="469"/>
      <c r="B47" s="470"/>
      <c r="C47" s="426" t="s">
        <v>135</v>
      </c>
      <c r="D47" s="425">
        <v>0.4</v>
      </c>
      <c r="E47" s="424"/>
      <c r="F47" s="423"/>
      <c r="H47" s="338"/>
    </row>
    <row r="48" spans="1:14" ht="18.75" x14ac:dyDescent="0.3">
      <c r="C48" s="422" t="s">
        <v>80</v>
      </c>
      <c r="D48" s="355">
        <f>D47*$B$45</f>
        <v>20</v>
      </c>
      <c r="F48" s="349"/>
      <c r="H48" s="338"/>
    </row>
    <row r="49" spans="1:12" ht="19.5" customHeight="1" thickBot="1" x14ac:dyDescent="0.35">
      <c r="C49" s="301" t="s">
        <v>81</v>
      </c>
      <c r="D49" s="421">
        <f>D48/B34</f>
        <v>20</v>
      </c>
      <c r="F49" s="349"/>
      <c r="H49" s="338"/>
    </row>
    <row r="50" spans="1:12" ht="18.75" x14ac:dyDescent="0.3">
      <c r="C50" s="336" t="s">
        <v>82</v>
      </c>
      <c r="D50" s="420">
        <f>AVERAGE(E38:E41,G38:G41)</f>
        <v>72794054.694718927</v>
      </c>
      <c r="F50" s="339"/>
      <c r="H50" s="338"/>
    </row>
    <row r="51" spans="1:12" ht="18.75" x14ac:dyDescent="0.3">
      <c r="C51" s="315" t="s">
        <v>83</v>
      </c>
      <c r="D51" s="419">
        <f>STDEV(E38:E41,G38:G41)/D50</f>
        <v>7.3617958191506136E-3</v>
      </c>
      <c r="F51" s="339"/>
      <c r="H51" s="338"/>
    </row>
    <row r="52" spans="1:12" ht="19.5" customHeight="1" thickBot="1" x14ac:dyDescent="0.35">
      <c r="C52" s="406" t="s">
        <v>20</v>
      </c>
      <c r="D52" s="418">
        <f>COUNT(E38:E41,G38:G41)</f>
        <v>6</v>
      </c>
      <c r="F52" s="339"/>
    </row>
    <row r="54" spans="1:12" ht="18.75" x14ac:dyDescent="0.3">
      <c r="A54" s="337" t="s">
        <v>1</v>
      </c>
      <c r="B54" s="417" t="s">
        <v>84</v>
      </c>
    </row>
    <row r="55" spans="1:12" ht="18.75" x14ac:dyDescent="0.3">
      <c r="A55" s="283" t="s">
        <v>85</v>
      </c>
      <c r="B55" s="415" t="str">
        <f>B21</f>
        <v>Each tablet contain Torsemide  usp 20mg</v>
      </c>
    </row>
    <row r="56" spans="1:12" ht="26.25" customHeight="1" x14ac:dyDescent="0.4">
      <c r="A56" s="415" t="s">
        <v>86</v>
      </c>
      <c r="B56" s="416">
        <v>20</v>
      </c>
      <c r="C56" s="283" t="str">
        <f>B20</f>
        <v>Torsemide USP</v>
      </c>
      <c r="H56" s="284"/>
    </row>
    <row r="57" spans="1:12" ht="18.75" x14ac:dyDescent="0.3">
      <c r="A57" s="415" t="s">
        <v>87</v>
      </c>
      <c r="B57" s="414">
        <f>[1]Uniformity!C46</f>
        <v>202.89550000000003</v>
      </c>
      <c r="H57" s="284"/>
    </row>
    <row r="58" spans="1:12" ht="19.5" customHeight="1" thickBot="1" x14ac:dyDescent="0.35">
      <c r="H58" s="284"/>
    </row>
    <row r="59" spans="1:12" s="387" customFormat="1" ht="27" customHeight="1" thickBot="1" x14ac:dyDescent="0.45">
      <c r="A59" s="336" t="s">
        <v>150</v>
      </c>
      <c r="B59" s="335">
        <v>100</v>
      </c>
      <c r="C59" s="283"/>
      <c r="D59" s="413" t="s">
        <v>149</v>
      </c>
      <c r="E59" s="334" t="s">
        <v>62</v>
      </c>
      <c r="F59" s="334" t="s">
        <v>63</v>
      </c>
      <c r="G59" s="334" t="s">
        <v>148</v>
      </c>
      <c r="H59" s="412" t="s">
        <v>147</v>
      </c>
      <c r="L59" s="388"/>
    </row>
    <row r="60" spans="1:12" s="387" customFormat="1" ht="26.25" customHeight="1" x14ac:dyDescent="0.4">
      <c r="A60" s="315" t="s">
        <v>146</v>
      </c>
      <c r="B60" s="320">
        <v>1</v>
      </c>
      <c r="C60" s="477" t="s">
        <v>145</v>
      </c>
      <c r="D60" s="462">
        <v>409.72</v>
      </c>
      <c r="E60" s="332">
        <v>1</v>
      </c>
      <c r="F60" s="408">
        <v>72420463</v>
      </c>
      <c r="G60" s="407">
        <f>IF(ISBLANK(F60),"-",(F60/$D$50*$D$47*$B$68)*($B$57/$D$60))</f>
        <v>19.706551318735542</v>
      </c>
      <c r="H60" s="410">
        <f t="shared" ref="H60:H71" si="0">IF(ISBLANK(F60),"-",(G60/$B$56)*100)</f>
        <v>98.532756593677703</v>
      </c>
      <c r="L60" s="388"/>
    </row>
    <row r="61" spans="1:12" s="387" customFormat="1" ht="26.25" customHeight="1" x14ac:dyDescent="0.4">
      <c r="A61" s="315" t="s">
        <v>114</v>
      </c>
      <c r="B61" s="320">
        <v>1</v>
      </c>
      <c r="C61" s="478"/>
      <c r="D61" s="463"/>
      <c r="E61" s="328">
        <v>2</v>
      </c>
      <c r="F61" s="373">
        <v>72319491</v>
      </c>
      <c r="G61" s="404">
        <f>IF(ISBLANK(F61),"-",(F61/$D$50*$D$47*$B$68)*($B$57/$D$60))</f>
        <v>19.679075522291722</v>
      </c>
      <c r="H61" s="403">
        <f t="shared" si="0"/>
        <v>98.395377611458613</v>
      </c>
      <c r="L61" s="388"/>
    </row>
    <row r="62" spans="1:12" s="387" customFormat="1" ht="26.25" customHeight="1" x14ac:dyDescent="0.4">
      <c r="A62" s="315" t="s">
        <v>115</v>
      </c>
      <c r="B62" s="320">
        <v>1</v>
      </c>
      <c r="C62" s="478"/>
      <c r="D62" s="463"/>
      <c r="E62" s="328">
        <v>3</v>
      </c>
      <c r="F62" s="411">
        <v>71958496</v>
      </c>
      <c r="G62" s="404">
        <f>IF(ISBLANK(F62),"-",(F62/$D$50*$D$47*$B$68)*($B$57/$D$60))</f>
        <v>19.580844080533236</v>
      </c>
      <c r="H62" s="403">
        <f t="shared" si="0"/>
        <v>97.904220402666169</v>
      </c>
      <c r="L62" s="388"/>
    </row>
    <row r="63" spans="1:12" ht="27" customHeight="1" thickBot="1" x14ac:dyDescent="0.45">
      <c r="A63" s="315" t="s">
        <v>116</v>
      </c>
      <c r="B63" s="320">
        <v>1</v>
      </c>
      <c r="C63" s="479"/>
      <c r="D63" s="464"/>
      <c r="E63" s="325">
        <v>4</v>
      </c>
      <c r="F63" s="402"/>
      <c r="G63" s="404" t="str">
        <f>IF(ISBLANK(F63),"-",(F63/$D$50*$D$47*$B$68)*($B$57/$D$60))</f>
        <v>-</v>
      </c>
      <c r="H63" s="403" t="str">
        <f t="shared" si="0"/>
        <v>-</v>
      </c>
    </row>
    <row r="64" spans="1:12" ht="26.25" customHeight="1" x14ac:dyDescent="0.4">
      <c r="A64" s="315" t="s">
        <v>117</v>
      </c>
      <c r="B64" s="320">
        <v>1</v>
      </c>
      <c r="C64" s="477" t="s">
        <v>144</v>
      </c>
      <c r="D64" s="462">
        <v>412</v>
      </c>
      <c r="E64" s="332">
        <v>1</v>
      </c>
      <c r="F64" s="408">
        <v>73579967</v>
      </c>
      <c r="G64" s="407">
        <f>IF(ISBLANK(F64),"-",(F64/$D$50*$D$47*$B$68)*($B$57/$D$64))</f>
        <v>19.91126572808512</v>
      </c>
      <c r="H64" s="410">
        <f t="shared" si="0"/>
        <v>99.55632864042559</v>
      </c>
    </row>
    <row r="65" spans="1:8" ht="26.25" customHeight="1" x14ac:dyDescent="0.4">
      <c r="A65" s="315" t="s">
        <v>118</v>
      </c>
      <c r="B65" s="320">
        <v>1</v>
      </c>
      <c r="C65" s="478"/>
      <c r="D65" s="463"/>
      <c r="E65" s="328">
        <v>2</v>
      </c>
      <c r="F65" s="373">
        <v>73321808</v>
      </c>
      <c r="G65" s="404">
        <f>IF(ISBLANK(F65),"-",(F65/$D$50*$D$47*$B$68)*($B$57/$D$64))</f>
        <v>19.841406054879549</v>
      </c>
      <c r="H65" s="403">
        <f t="shared" si="0"/>
        <v>99.207030274397738</v>
      </c>
    </row>
    <row r="66" spans="1:8" ht="26.25" customHeight="1" x14ac:dyDescent="0.4">
      <c r="A66" s="315" t="s">
        <v>119</v>
      </c>
      <c r="B66" s="320">
        <v>1</v>
      </c>
      <c r="C66" s="478"/>
      <c r="D66" s="463"/>
      <c r="E66" s="328">
        <v>3</v>
      </c>
      <c r="F66" s="373">
        <v>73456640</v>
      </c>
      <c r="G66" s="404">
        <f>IF(ISBLANK(F66),"-",(F66/$D$50*$D$47*$B$68)*($B$57/$D$64))</f>
        <v>19.877892559156582</v>
      </c>
      <c r="H66" s="403">
        <f t="shared" si="0"/>
        <v>99.389462795782919</v>
      </c>
    </row>
    <row r="67" spans="1:8" ht="27" customHeight="1" thickBot="1" x14ac:dyDescent="0.45">
      <c r="A67" s="315" t="s">
        <v>120</v>
      </c>
      <c r="B67" s="320">
        <v>1</v>
      </c>
      <c r="C67" s="479"/>
      <c r="D67" s="464"/>
      <c r="E67" s="325">
        <v>4</v>
      </c>
      <c r="F67" s="402"/>
      <c r="G67" s="401" t="str">
        <f>IF(ISBLANK(F67),"-",(F67/$D$50*$D$47*$B$68)*($B$57/$D$64))</f>
        <v>-</v>
      </c>
      <c r="H67" s="400" t="str">
        <f t="shared" si="0"/>
        <v>-</v>
      </c>
    </row>
    <row r="68" spans="1:8" ht="26.25" customHeight="1" x14ac:dyDescent="0.4">
      <c r="A68" s="315" t="s">
        <v>121</v>
      </c>
      <c r="B68" s="409">
        <f>(B67/B66)*(B65/B64)*(B63/B62)*(B61/B60)*B59</f>
        <v>100</v>
      </c>
      <c r="C68" s="477" t="s">
        <v>143</v>
      </c>
      <c r="D68" s="462">
        <v>405.82</v>
      </c>
      <c r="E68" s="332">
        <v>1</v>
      </c>
      <c r="F68" s="408">
        <v>73740142</v>
      </c>
      <c r="G68" s="407">
        <f>IF(ISBLANK(F68),"-",(F68/$D$50*$D$47*$B$68)*($B$57/$D$68))</f>
        <v>20.258487542698344</v>
      </c>
      <c r="H68" s="403">
        <f t="shared" si="0"/>
        <v>101.29243771349172</v>
      </c>
    </row>
    <row r="69" spans="1:8" ht="27" customHeight="1" thickBot="1" x14ac:dyDescent="0.45">
      <c r="A69" s="406" t="s">
        <v>142</v>
      </c>
      <c r="B69" s="405">
        <f>(D47*B68)/B56*B57</f>
        <v>405.79100000000005</v>
      </c>
      <c r="C69" s="478"/>
      <c r="D69" s="463"/>
      <c r="E69" s="328">
        <v>2</v>
      </c>
      <c r="F69" s="373">
        <v>73367362</v>
      </c>
      <c r="G69" s="404">
        <f>IF(ISBLANK(F69),"-",(F69/$D$50*$D$47*$B$68)*($B$57/$D$68))</f>
        <v>20.156074409480251</v>
      </c>
      <c r="H69" s="403">
        <f t="shared" si="0"/>
        <v>100.78037204740124</v>
      </c>
    </row>
    <row r="70" spans="1:8" ht="26.25" customHeight="1" x14ac:dyDescent="0.4">
      <c r="A70" s="483" t="s">
        <v>77</v>
      </c>
      <c r="B70" s="484"/>
      <c r="C70" s="478"/>
      <c r="D70" s="463"/>
      <c r="E70" s="328">
        <v>3</v>
      </c>
      <c r="F70" s="373">
        <v>73119721</v>
      </c>
      <c r="G70" s="404">
        <f>IF(ISBLANK(F70),"-",(F70/$D$50*$D$47*$B$68)*($B$57/$D$68))</f>
        <v>20.088040473316127</v>
      </c>
      <c r="H70" s="403">
        <f t="shared" si="0"/>
        <v>100.44020236658065</v>
      </c>
    </row>
    <row r="71" spans="1:8" ht="27" customHeight="1" thickBot="1" x14ac:dyDescent="0.45">
      <c r="A71" s="485"/>
      <c r="B71" s="486"/>
      <c r="C71" s="482"/>
      <c r="D71" s="464"/>
      <c r="E71" s="325">
        <v>4</v>
      </c>
      <c r="F71" s="402"/>
      <c r="G71" s="401" t="str">
        <f>IF(ISBLANK(F71),"-",(F71/$D$50*$D$47*$B$68)*($B$57/$D$68))</f>
        <v>-</v>
      </c>
      <c r="H71" s="400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399" t="s">
        <v>70</v>
      </c>
      <c r="G72" s="398">
        <f>AVERAGE(G60:G71)</f>
        <v>19.89995974324183</v>
      </c>
      <c r="H72" s="397">
        <f>AVERAGE(H60:H71)</f>
        <v>99.499798716209142</v>
      </c>
    </row>
    <row r="73" spans="1:8" ht="26.25" customHeight="1" x14ac:dyDescent="0.4">
      <c r="C73" s="284"/>
      <c r="D73" s="284"/>
      <c r="E73" s="284"/>
      <c r="F73" s="342" t="s">
        <v>83</v>
      </c>
      <c r="G73" s="312">
        <f>STDEV(G60:G71)/G72</f>
        <v>1.1535752372850504E-2</v>
      </c>
      <c r="H73" s="312">
        <f>STDEV(H60:H71)/H72</f>
        <v>1.1535752372850533E-2</v>
      </c>
    </row>
    <row r="74" spans="1:8" ht="27" customHeight="1" thickBot="1" x14ac:dyDescent="0.45">
      <c r="A74" s="284"/>
      <c r="B74" s="284"/>
      <c r="C74" s="284"/>
      <c r="D74" s="284"/>
      <c r="E74" s="285"/>
      <c r="F74" s="309" t="s">
        <v>20</v>
      </c>
      <c r="G74" s="396">
        <f>COUNT(G60:G71)</f>
        <v>9</v>
      </c>
      <c r="H74" s="396">
        <f>COUNT(H60:H71)</f>
        <v>9</v>
      </c>
    </row>
    <row r="76" spans="1:8" ht="26.25" customHeight="1" x14ac:dyDescent="0.4">
      <c r="A76" s="288" t="s">
        <v>129</v>
      </c>
      <c r="B76" s="296" t="s">
        <v>96</v>
      </c>
      <c r="C76" s="471" t="str">
        <f>B26</f>
        <v>Torsemide</v>
      </c>
      <c r="D76" s="471"/>
      <c r="E76" s="283" t="s">
        <v>97</v>
      </c>
      <c r="F76" s="283"/>
      <c r="G76" s="294">
        <f>H72</f>
        <v>99.499798716209142</v>
      </c>
      <c r="H76" s="394"/>
    </row>
    <row r="77" spans="1:8" ht="18.75" x14ac:dyDescent="0.3">
      <c r="A77" s="386" t="s">
        <v>104</v>
      </c>
      <c r="B77" s="386" t="s">
        <v>105</v>
      </c>
    </row>
    <row r="78" spans="1:8" ht="18.75" x14ac:dyDescent="0.3">
      <c r="A78" s="386"/>
      <c r="B78" s="386"/>
    </row>
    <row r="79" spans="1:8" ht="26.25" customHeight="1" x14ac:dyDescent="0.4">
      <c r="A79" s="288" t="s">
        <v>4</v>
      </c>
      <c r="B79" s="475"/>
      <c r="C79" s="475"/>
    </row>
    <row r="80" spans="1:8" ht="26.25" customHeight="1" x14ac:dyDescent="0.4">
      <c r="A80" s="296" t="s">
        <v>48</v>
      </c>
      <c r="B80" s="475"/>
      <c r="C80" s="475"/>
    </row>
    <row r="81" spans="1:12" ht="27" customHeight="1" thickBot="1" x14ac:dyDescent="0.45">
      <c r="A81" s="296" t="s">
        <v>6</v>
      </c>
      <c r="B81" s="358"/>
    </row>
    <row r="82" spans="1:12" s="387" customFormat="1" ht="27" customHeight="1" thickBot="1" x14ac:dyDescent="0.45">
      <c r="A82" s="296" t="s">
        <v>49</v>
      </c>
      <c r="B82" s="395">
        <v>0</v>
      </c>
      <c r="C82" s="447" t="s">
        <v>106</v>
      </c>
      <c r="D82" s="448"/>
      <c r="E82" s="448"/>
      <c r="F82" s="448"/>
      <c r="G82" s="449"/>
      <c r="I82" s="388"/>
      <c r="J82" s="388"/>
      <c r="K82" s="388"/>
      <c r="L82" s="388"/>
    </row>
    <row r="83" spans="1:12" s="387" customFormat="1" ht="19.5" customHeight="1" thickBot="1" x14ac:dyDescent="0.35">
      <c r="A83" s="296" t="s">
        <v>51</v>
      </c>
      <c r="B83" s="394">
        <f>B81-B82</f>
        <v>0</v>
      </c>
      <c r="C83" s="393"/>
      <c r="D83" s="393"/>
      <c r="E83" s="393"/>
      <c r="F83" s="393"/>
      <c r="G83" s="392"/>
      <c r="I83" s="388"/>
      <c r="J83" s="388"/>
      <c r="K83" s="388"/>
      <c r="L83" s="388"/>
    </row>
    <row r="84" spans="1:12" s="387" customFormat="1" ht="27" customHeight="1" thickBot="1" x14ac:dyDescent="0.45">
      <c r="A84" s="296" t="s">
        <v>52</v>
      </c>
      <c r="B84" s="391"/>
      <c r="C84" s="450" t="s">
        <v>141</v>
      </c>
      <c r="D84" s="451"/>
      <c r="E84" s="451"/>
      <c r="F84" s="451"/>
      <c r="G84" s="451"/>
      <c r="H84" s="452"/>
      <c r="I84" s="388"/>
      <c r="J84" s="388"/>
      <c r="K84" s="388"/>
      <c r="L84" s="388"/>
    </row>
    <row r="85" spans="1:12" s="387" customFormat="1" ht="27" customHeight="1" thickBot="1" x14ac:dyDescent="0.45">
      <c r="A85" s="296" t="s">
        <v>54</v>
      </c>
      <c r="B85" s="391"/>
      <c r="C85" s="450" t="s">
        <v>140</v>
      </c>
      <c r="D85" s="451"/>
      <c r="E85" s="451"/>
      <c r="F85" s="451"/>
      <c r="G85" s="451"/>
      <c r="H85" s="452"/>
      <c r="I85" s="388"/>
      <c r="J85" s="388"/>
      <c r="K85" s="388"/>
      <c r="L85" s="388"/>
    </row>
    <row r="86" spans="1:12" s="387" customFormat="1" ht="18.75" x14ac:dyDescent="0.3">
      <c r="A86" s="296"/>
      <c r="B86" s="390"/>
      <c r="C86" s="297"/>
      <c r="D86" s="297"/>
      <c r="E86" s="297"/>
      <c r="F86" s="297"/>
      <c r="G86" s="297"/>
      <c r="H86" s="297"/>
      <c r="I86" s="388"/>
      <c r="J86" s="388"/>
      <c r="K86" s="388"/>
      <c r="L86" s="388"/>
    </row>
    <row r="87" spans="1:12" s="387" customFormat="1" ht="18.75" x14ac:dyDescent="0.3">
      <c r="A87" s="296" t="s">
        <v>56</v>
      </c>
      <c r="B87" s="389" t="e">
        <f>B84/B85</f>
        <v>#DIV/0!</v>
      </c>
      <c r="C87" s="283" t="s">
        <v>57</v>
      </c>
      <c r="D87" s="283"/>
      <c r="E87" s="283"/>
      <c r="F87" s="283"/>
      <c r="G87" s="283"/>
      <c r="I87" s="388"/>
      <c r="J87" s="388"/>
      <c r="K87" s="388"/>
      <c r="L87" s="388"/>
    </row>
    <row r="88" spans="1:12" ht="19.5" customHeight="1" thickBot="1" x14ac:dyDescent="0.35">
      <c r="A88" s="386"/>
      <c r="B88" s="386"/>
    </row>
    <row r="89" spans="1:12" ht="27" customHeight="1" thickBot="1" x14ac:dyDescent="0.45">
      <c r="A89" s="336" t="s">
        <v>139</v>
      </c>
      <c r="B89" s="335"/>
      <c r="D89" s="385" t="s">
        <v>59</v>
      </c>
      <c r="E89" s="384"/>
      <c r="F89" s="472" t="s">
        <v>60</v>
      </c>
      <c r="G89" s="474"/>
    </row>
    <row r="90" spans="1:12" ht="27" customHeight="1" thickBot="1" x14ac:dyDescent="0.45">
      <c r="A90" s="315" t="s">
        <v>61</v>
      </c>
      <c r="B90" s="320"/>
      <c r="C90" s="291" t="s">
        <v>62</v>
      </c>
      <c r="D90" s="382" t="s">
        <v>63</v>
      </c>
      <c r="E90" s="383" t="s">
        <v>64</v>
      </c>
      <c r="F90" s="382" t="s">
        <v>63</v>
      </c>
      <c r="G90" s="381" t="s">
        <v>64</v>
      </c>
      <c r="I90" s="380" t="s">
        <v>138</v>
      </c>
    </row>
    <row r="91" spans="1:12" ht="26.25" customHeight="1" x14ac:dyDescent="0.4">
      <c r="A91" s="315" t="s">
        <v>65</v>
      </c>
      <c r="B91" s="320"/>
      <c r="C91" s="379">
        <v>1</v>
      </c>
      <c r="D91" s="377"/>
      <c r="E91" s="378" t="str">
        <f>IF(ISBLANK(D91),"-",$D$101/$D$98*D91)</f>
        <v>-</v>
      </c>
      <c r="F91" s="377"/>
      <c r="G91" s="376" t="str">
        <f>IF(ISBLANK(F91),"-",$D$101/$F$98*F91)</f>
        <v>-</v>
      </c>
      <c r="I91" s="375"/>
    </row>
    <row r="92" spans="1:12" ht="26.25" customHeight="1" x14ac:dyDescent="0.4">
      <c r="A92" s="315" t="s">
        <v>66</v>
      </c>
      <c r="B92" s="320">
        <v>1</v>
      </c>
      <c r="C92" s="284">
        <v>2</v>
      </c>
      <c r="D92" s="373"/>
      <c r="E92" s="374" t="str">
        <f>IF(ISBLANK(D92),"-",$D$101/$D$98*D92)</f>
        <v>-</v>
      </c>
      <c r="F92" s="373"/>
      <c r="G92" s="372" t="str">
        <f>IF(ISBLANK(F92),"-",$D$101/$F$98*F92)</f>
        <v>-</v>
      </c>
      <c r="I92" s="476" t="e">
        <f>ABS((F96/D96*D95)-F95)/D95</f>
        <v>#DIV/0!</v>
      </c>
    </row>
    <row r="93" spans="1:12" ht="26.25" customHeight="1" x14ac:dyDescent="0.4">
      <c r="A93" s="315" t="s">
        <v>67</v>
      </c>
      <c r="B93" s="320">
        <v>1</v>
      </c>
      <c r="C93" s="284">
        <v>3</v>
      </c>
      <c r="D93" s="373"/>
      <c r="E93" s="374" t="str">
        <f>IF(ISBLANK(D93),"-",$D$101/$D$98*D93)</f>
        <v>-</v>
      </c>
      <c r="F93" s="373"/>
      <c r="G93" s="372" t="str">
        <f>IF(ISBLANK(F93),"-",$D$101/$F$98*F93)</f>
        <v>-</v>
      </c>
      <c r="I93" s="476"/>
    </row>
    <row r="94" spans="1:12" ht="27" customHeight="1" thickBot="1" x14ac:dyDescent="0.45">
      <c r="A94" s="315" t="s">
        <v>68</v>
      </c>
      <c r="B94" s="320">
        <v>1</v>
      </c>
      <c r="C94" s="371">
        <v>4</v>
      </c>
      <c r="D94" s="370"/>
      <c r="E94" s="369" t="str">
        <f>IF(ISBLANK(D94),"-",$D$101/$D$98*D94)</f>
        <v>-</v>
      </c>
      <c r="F94" s="368"/>
      <c r="G94" s="367" t="str">
        <f>IF(ISBLANK(F94),"-",$D$101/$F$98*F94)</f>
        <v>-</v>
      </c>
      <c r="I94" s="366"/>
    </row>
    <row r="95" spans="1:12" ht="27" customHeight="1" thickBot="1" x14ac:dyDescent="0.45">
      <c r="A95" s="315" t="s">
        <v>69</v>
      </c>
      <c r="B95" s="320">
        <v>1</v>
      </c>
      <c r="C95" s="296" t="s">
        <v>70</v>
      </c>
      <c r="D95" s="365" t="e">
        <f>AVERAGE(D91:D94)</f>
        <v>#DIV/0!</v>
      </c>
      <c r="E95" s="364" t="e">
        <f>AVERAGE(E91:E94)</f>
        <v>#DIV/0!</v>
      </c>
      <c r="F95" s="363" t="e">
        <f>AVERAGE(F91:F94)</f>
        <v>#DIV/0!</v>
      </c>
      <c r="G95" s="362" t="e">
        <f>AVERAGE(G91:G94)</f>
        <v>#DIV/0!</v>
      </c>
    </row>
    <row r="96" spans="1:12" ht="26.25" customHeight="1" x14ac:dyDescent="0.4">
      <c r="A96" s="315" t="s">
        <v>71</v>
      </c>
      <c r="B96" s="358">
        <v>1</v>
      </c>
      <c r="C96" s="361" t="s">
        <v>72</v>
      </c>
      <c r="D96" s="360"/>
      <c r="E96" s="283"/>
      <c r="F96" s="359"/>
    </row>
    <row r="97" spans="1:10" ht="26.25" customHeight="1" x14ac:dyDescent="0.4">
      <c r="A97" s="315" t="s">
        <v>73</v>
      </c>
      <c r="B97" s="358">
        <v>1</v>
      </c>
      <c r="C97" s="351" t="s">
        <v>74</v>
      </c>
      <c r="D97" s="350" t="e">
        <f>D96*$B$87</f>
        <v>#DIV/0!</v>
      </c>
      <c r="E97" s="284"/>
      <c r="F97" s="357" t="e">
        <f>F96*$B$87</f>
        <v>#DIV/0!</v>
      </c>
    </row>
    <row r="98" spans="1:10" ht="19.5" customHeight="1" thickBot="1" x14ac:dyDescent="0.35">
      <c r="A98" s="315" t="s">
        <v>75</v>
      </c>
      <c r="B98" s="284" t="e">
        <f>(B97/B96)*(B95/B94)*(B93/B92)*(B91/B90)*B89</f>
        <v>#DIV/0!</v>
      </c>
      <c r="C98" s="351" t="s">
        <v>137</v>
      </c>
      <c r="D98" s="356" t="e">
        <f>D97*$B$83/100</f>
        <v>#DIV/0!</v>
      </c>
      <c r="E98" s="285"/>
      <c r="F98" s="355" t="e">
        <f>F97*$B$83/100</f>
        <v>#DIV/0!</v>
      </c>
    </row>
    <row r="99" spans="1:10" ht="19.5" customHeight="1" thickBot="1" x14ac:dyDescent="0.35">
      <c r="A99" s="467" t="s">
        <v>77</v>
      </c>
      <c r="B99" s="480"/>
      <c r="C99" s="351" t="s">
        <v>136</v>
      </c>
      <c r="D99" s="354" t="e">
        <f>D98/$B$98</f>
        <v>#DIV/0!</v>
      </c>
      <c r="E99" s="285"/>
      <c r="F99" s="353" t="e">
        <f>F98/$B$98</f>
        <v>#DIV/0!</v>
      </c>
      <c r="H99" s="338"/>
    </row>
    <row r="100" spans="1:10" ht="19.5" customHeight="1" thickBot="1" x14ac:dyDescent="0.35">
      <c r="A100" s="469"/>
      <c r="B100" s="481"/>
      <c r="C100" s="351" t="s">
        <v>135</v>
      </c>
      <c r="D100" s="352" t="e">
        <f>$B$56/$B$116</f>
        <v>#DIV/0!</v>
      </c>
      <c r="F100" s="349"/>
      <c r="G100" s="343"/>
      <c r="H100" s="338"/>
    </row>
    <row r="101" spans="1:10" ht="18.75" x14ac:dyDescent="0.3">
      <c r="C101" s="351" t="s">
        <v>80</v>
      </c>
      <c r="D101" s="350" t="e">
        <f>D100*$B$98</f>
        <v>#DIV/0!</v>
      </c>
      <c r="F101" s="349"/>
      <c r="H101" s="338"/>
    </row>
    <row r="102" spans="1:10" ht="19.5" customHeight="1" thickBot="1" x14ac:dyDescent="0.35">
      <c r="C102" s="348" t="s">
        <v>81</v>
      </c>
      <c r="D102" s="347" t="e">
        <f>D101/B34</f>
        <v>#DIV/0!</v>
      </c>
      <c r="F102" s="339"/>
      <c r="H102" s="338"/>
      <c r="J102" s="346"/>
    </row>
    <row r="103" spans="1:10" ht="18.75" x14ac:dyDescent="0.3">
      <c r="C103" s="345" t="s">
        <v>134</v>
      </c>
      <c r="D103" s="344" t="e">
        <f>AVERAGE(E91:E94,G91:G94)</f>
        <v>#DIV/0!</v>
      </c>
      <c r="F103" s="339"/>
      <c r="G103" s="343"/>
      <c r="H103" s="338"/>
      <c r="J103" s="306"/>
    </row>
    <row r="104" spans="1:10" ht="18.75" x14ac:dyDescent="0.3">
      <c r="C104" s="342" t="s">
        <v>83</v>
      </c>
      <c r="D104" s="341" t="e">
        <f>STDEV(E91:E94,G91:G94)/D103</f>
        <v>#DIV/0!</v>
      </c>
      <c r="F104" s="339"/>
      <c r="H104" s="338"/>
      <c r="J104" s="306"/>
    </row>
    <row r="105" spans="1:10" ht="19.5" customHeight="1" thickBot="1" x14ac:dyDescent="0.35">
      <c r="C105" s="309" t="s">
        <v>20</v>
      </c>
      <c r="D105" s="340">
        <f>COUNT(E91:E94,G91:G94)</f>
        <v>0</v>
      </c>
      <c r="F105" s="339"/>
      <c r="H105" s="338"/>
      <c r="J105" s="306"/>
    </row>
    <row r="106" spans="1:10" ht="19.5" customHeight="1" thickBot="1" x14ac:dyDescent="0.35">
      <c r="A106" s="337"/>
      <c r="B106" s="337"/>
      <c r="C106" s="337"/>
      <c r="D106" s="337"/>
      <c r="E106" s="337"/>
    </row>
    <row r="107" spans="1:10" ht="27" customHeight="1" thickBot="1" x14ac:dyDescent="0.45">
      <c r="A107" s="336" t="s">
        <v>109</v>
      </c>
      <c r="B107" s="335"/>
      <c r="C107" s="334" t="s">
        <v>133</v>
      </c>
      <c r="D107" s="334" t="s">
        <v>63</v>
      </c>
      <c r="E107" s="334" t="s">
        <v>111</v>
      </c>
      <c r="F107" s="333" t="s">
        <v>112</v>
      </c>
    </row>
    <row r="108" spans="1:10" ht="26.25" customHeight="1" x14ac:dyDescent="0.4">
      <c r="A108" s="315" t="s">
        <v>113</v>
      </c>
      <c r="B108" s="320"/>
      <c r="C108" s="332">
        <v>1</v>
      </c>
      <c r="D108" s="331"/>
      <c r="E108" s="330" t="str">
        <f t="shared" ref="E108:E113" si="1">IF(ISBLANK(D108),"-",D108/$D$103*$D$100*$B$116)</f>
        <v>-</v>
      </c>
      <c r="F108" s="329" t="str">
        <f t="shared" ref="F108:F113" si="2">IF(ISBLANK(D108), "-", (E108/$B$56)*100)</f>
        <v>-</v>
      </c>
    </row>
    <row r="109" spans="1:10" ht="26.25" customHeight="1" x14ac:dyDescent="0.4">
      <c r="A109" s="315" t="s">
        <v>114</v>
      </c>
      <c r="B109" s="320"/>
      <c r="C109" s="328">
        <v>2</v>
      </c>
      <c r="D109" s="327"/>
      <c r="E109" s="326" t="str">
        <f t="shared" si="1"/>
        <v>-</v>
      </c>
      <c r="F109" s="321" t="str">
        <f t="shared" si="2"/>
        <v>-</v>
      </c>
    </row>
    <row r="110" spans="1:10" ht="26.25" customHeight="1" x14ac:dyDescent="0.4">
      <c r="A110" s="315" t="s">
        <v>115</v>
      </c>
      <c r="B110" s="320">
        <v>1</v>
      </c>
      <c r="C110" s="328">
        <v>3</v>
      </c>
      <c r="D110" s="327"/>
      <c r="E110" s="326" t="str">
        <f t="shared" si="1"/>
        <v>-</v>
      </c>
      <c r="F110" s="321" t="str">
        <f t="shared" si="2"/>
        <v>-</v>
      </c>
    </row>
    <row r="111" spans="1:10" ht="26.25" customHeight="1" x14ac:dyDescent="0.4">
      <c r="A111" s="315" t="s">
        <v>116</v>
      </c>
      <c r="B111" s="320">
        <v>1</v>
      </c>
      <c r="C111" s="328">
        <v>4</v>
      </c>
      <c r="D111" s="327"/>
      <c r="E111" s="326" t="str">
        <f t="shared" si="1"/>
        <v>-</v>
      </c>
      <c r="F111" s="321" t="str">
        <f t="shared" si="2"/>
        <v>-</v>
      </c>
    </row>
    <row r="112" spans="1:10" ht="26.25" customHeight="1" x14ac:dyDescent="0.4">
      <c r="A112" s="315" t="s">
        <v>117</v>
      </c>
      <c r="B112" s="320">
        <v>1</v>
      </c>
      <c r="C112" s="328">
        <v>5</v>
      </c>
      <c r="D112" s="327"/>
      <c r="E112" s="326" t="str">
        <f t="shared" si="1"/>
        <v>-</v>
      </c>
      <c r="F112" s="321" t="str">
        <f t="shared" si="2"/>
        <v>-</v>
      </c>
    </row>
    <row r="113" spans="1:10" ht="27" customHeight="1" thickBot="1" x14ac:dyDescent="0.45">
      <c r="A113" s="315" t="s">
        <v>118</v>
      </c>
      <c r="B113" s="320">
        <v>1</v>
      </c>
      <c r="C113" s="325">
        <v>6</v>
      </c>
      <c r="D113" s="324"/>
      <c r="E113" s="323" t="str">
        <f t="shared" si="1"/>
        <v>-</v>
      </c>
      <c r="F113" s="322" t="str">
        <f t="shared" si="2"/>
        <v>-</v>
      </c>
    </row>
    <row r="114" spans="1:10" ht="27" customHeight="1" thickBot="1" x14ac:dyDescent="0.45">
      <c r="A114" s="315" t="s">
        <v>119</v>
      </c>
      <c r="B114" s="320">
        <v>1</v>
      </c>
      <c r="C114" s="319"/>
      <c r="D114" s="284"/>
      <c r="E114" s="283"/>
      <c r="F114" s="321"/>
    </row>
    <row r="115" spans="1:10" ht="26.25" customHeight="1" x14ac:dyDescent="0.4">
      <c r="A115" s="315" t="s">
        <v>120</v>
      </c>
      <c r="B115" s="320">
        <v>1</v>
      </c>
      <c r="C115" s="319"/>
      <c r="D115" s="318" t="s">
        <v>70</v>
      </c>
      <c r="E115" s="317" t="e">
        <f>AVERAGE(E108:E113)</f>
        <v>#DIV/0!</v>
      </c>
      <c r="F115" s="316" t="e">
        <f>AVERAGE(F108:F113)</f>
        <v>#DIV/0!</v>
      </c>
    </row>
    <row r="116" spans="1:10" ht="27" customHeight="1" thickBot="1" x14ac:dyDescent="0.45">
      <c r="A116" s="315" t="s">
        <v>121</v>
      </c>
      <c r="B116" s="314" t="e">
        <f>(B115/B114)*(B113/B112)*(B111/B110)*(B109/B108)*B107</f>
        <v>#DIV/0!</v>
      </c>
      <c r="C116" s="313"/>
      <c r="D116" s="304" t="s">
        <v>83</v>
      </c>
      <c r="E116" s="312" t="e">
        <f>STDEV(E108:E113)/E115</f>
        <v>#DIV/0!</v>
      </c>
      <c r="F116" s="311" t="e">
        <f>STDEV(F108:F113)/F115</f>
        <v>#DIV/0!</v>
      </c>
      <c r="I116" s="283"/>
    </row>
    <row r="117" spans="1:10" ht="27" customHeight="1" thickBot="1" x14ac:dyDescent="0.45">
      <c r="A117" s="467" t="s">
        <v>77</v>
      </c>
      <c r="B117" s="468"/>
      <c r="C117" s="310"/>
      <c r="D117" s="309" t="s">
        <v>20</v>
      </c>
      <c r="E117" s="308">
        <f>COUNT(E108:E113)</f>
        <v>0</v>
      </c>
      <c r="F117" s="307">
        <f>COUNT(F108:F113)</f>
        <v>0</v>
      </c>
      <c r="I117" s="283"/>
      <c r="J117" s="306"/>
    </row>
    <row r="118" spans="1:10" ht="26.25" customHeight="1" thickBot="1" x14ac:dyDescent="0.35">
      <c r="A118" s="469"/>
      <c r="B118" s="470"/>
      <c r="C118" s="283"/>
      <c r="D118" s="305"/>
      <c r="E118" s="460" t="s">
        <v>132</v>
      </c>
      <c r="F118" s="461"/>
      <c r="G118" s="283"/>
      <c r="H118" s="283"/>
      <c r="I118" s="283"/>
    </row>
    <row r="119" spans="1:10" ht="25.5" customHeight="1" x14ac:dyDescent="0.4">
      <c r="A119" s="298"/>
      <c r="B119" s="297"/>
      <c r="C119" s="283"/>
      <c r="D119" s="304" t="s">
        <v>131</v>
      </c>
      <c r="E119" s="303">
        <f>MIN(E108:E113)</f>
        <v>0</v>
      </c>
      <c r="F119" s="302">
        <f>MIN(F108:F113)</f>
        <v>0</v>
      </c>
      <c r="G119" s="283"/>
      <c r="H119" s="283"/>
      <c r="I119" s="283"/>
    </row>
    <row r="120" spans="1:10" ht="24" customHeight="1" thickBot="1" x14ac:dyDescent="0.45">
      <c r="A120" s="298"/>
      <c r="B120" s="297"/>
      <c r="C120" s="283"/>
      <c r="D120" s="301" t="s">
        <v>130</v>
      </c>
      <c r="E120" s="300">
        <f>MAX(E108:E113)</f>
        <v>0</v>
      </c>
      <c r="F120" s="299">
        <f>MAX(F108:F113)</f>
        <v>0</v>
      </c>
      <c r="G120" s="283"/>
      <c r="H120" s="283"/>
      <c r="I120" s="283"/>
    </row>
    <row r="121" spans="1:10" ht="27" customHeight="1" x14ac:dyDescent="0.3">
      <c r="A121" s="298"/>
      <c r="B121" s="297"/>
      <c r="C121" s="283"/>
      <c r="D121" s="283"/>
      <c r="E121" s="283"/>
      <c r="F121" s="284"/>
      <c r="G121" s="283"/>
      <c r="H121" s="283"/>
      <c r="I121" s="283"/>
    </row>
    <row r="122" spans="1:10" ht="25.5" customHeight="1" x14ac:dyDescent="0.3">
      <c r="A122" s="298"/>
      <c r="B122" s="297"/>
      <c r="C122" s="283"/>
      <c r="D122" s="283"/>
      <c r="E122" s="283"/>
      <c r="F122" s="284"/>
      <c r="G122" s="283"/>
      <c r="H122" s="283"/>
      <c r="I122" s="283"/>
    </row>
    <row r="123" spans="1:10" ht="18.75" x14ac:dyDescent="0.3">
      <c r="A123" s="298"/>
      <c r="B123" s="297"/>
      <c r="C123" s="283"/>
      <c r="D123" s="283"/>
      <c r="E123" s="283"/>
      <c r="F123" s="284"/>
      <c r="G123" s="283"/>
      <c r="H123" s="283"/>
      <c r="I123" s="283"/>
    </row>
    <row r="124" spans="1:10" ht="45.75" customHeight="1" x14ac:dyDescent="0.65">
      <c r="A124" s="288" t="s">
        <v>129</v>
      </c>
      <c r="B124" s="296" t="s">
        <v>122</v>
      </c>
      <c r="C124" s="471" t="str">
        <f>B26</f>
        <v>Torsemide</v>
      </c>
      <c r="D124" s="471"/>
      <c r="E124" s="283" t="s">
        <v>123</v>
      </c>
      <c r="F124" s="283"/>
      <c r="G124" s="295" t="e">
        <f>F115</f>
        <v>#DIV/0!</v>
      </c>
      <c r="H124" s="283"/>
      <c r="I124" s="283"/>
    </row>
    <row r="125" spans="1:10" ht="45.75" customHeight="1" x14ac:dyDescent="0.65">
      <c r="A125" s="288"/>
      <c r="B125" s="296" t="s">
        <v>128</v>
      </c>
      <c r="C125" s="296" t="s">
        <v>127</v>
      </c>
      <c r="D125" s="295">
        <f>MIN(F108:F113)</f>
        <v>0</v>
      </c>
      <c r="E125" s="296" t="s">
        <v>126</v>
      </c>
      <c r="F125" s="295">
        <f>MAX(F108:F113)</f>
        <v>0</v>
      </c>
      <c r="G125" s="294"/>
      <c r="H125" s="283"/>
      <c r="I125" s="283"/>
    </row>
    <row r="126" spans="1:10" ht="19.5" customHeight="1" thickBot="1" x14ac:dyDescent="0.35">
      <c r="A126" s="293"/>
      <c r="B126" s="293"/>
      <c r="C126" s="292"/>
      <c r="D126" s="292"/>
      <c r="E126" s="292"/>
      <c r="F126" s="292"/>
      <c r="G126" s="292"/>
      <c r="H126" s="292"/>
    </row>
    <row r="127" spans="1:10" ht="18.75" x14ac:dyDescent="0.3">
      <c r="B127" s="459" t="s">
        <v>26</v>
      </c>
      <c r="C127" s="459"/>
      <c r="E127" s="291" t="s">
        <v>27</v>
      </c>
      <c r="F127" s="290"/>
      <c r="G127" s="459" t="s">
        <v>28</v>
      </c>
      <c r="H127" s="459"/>
    </row>
    <row r="128" spans="1:10" ht="69.95" customHeight="1" x14ac:dyDescent="0.3">
      <c r="A128" s="288" t="s">
        <v>29</v>
      </c>
      <c r="B128" s="289"/>
      <c r="C128" s="289"/>
      <c r="E128" s="289"/>
      <c r="F128" s="283"/>
      <c r="G128" s="289"/>
      <c r="H128" s="289"/>
    </row>
    <row r="129" spans="1:9" ht="69.95" customHeight="1" x14ac:dyDescent="0.3">
      <c r="A129" s="288" t="s">
        <v>30</v>
      </c>
      <c r="B129" s="287"/>
      <c r="C129" s="287"/>
      <c r="E129" s="287"/>
      <c r="F129" s="283"/>
      <c r="G129" s="286"/>
      <c r="H129" s="286"/>
    </row>
    <row r="130" spans="1:9" ht="18.75" x14ac:dyDescent="0.3">
      <c r="A130" s="284"/>
      <c r="B130" s="284"/>
      <c r="C130" s="284"/>
      <c r="D130" s="284"/>
      <c r="E130" s="284"/>
      <c r="F130" s="285"/>
      <c r="G130" s="284"/>
      <c r="H130" s="284"/>
      <c r="I130" s="283"/>
    </row>
    <row r="131" spans="1:9" ht="18.75" x14ac:dyDescent="0.3">
      <c r="A131" s="284"/>
      <c r="B131" s="284"/>
      <c r="C131" s="284"/>
      <c r="D131" s="284"/>
      <c r="E131" s="284"/>
      <c r="F131" s="285"/>
      <c r="G131" s="284"/>
      <c r="H131" s="284"/>
      <c r="I131" s="283"/>
    </row>
    <row r="132" spans="1:9" ht="18.75" x14ac:dyDescent="0.3">
      <c r="A132" s="284"/>
      <c r="B132" s="284"/>
      <c r="C132" s="284"/>
      <c r="D132" s="284"/>
      <c r="E132" s="284"/>
      <c r="F132" s="285"/>
      <c r="G132" s="284"/>
      <c r="H132" s="284"/>
      <c r="I132" s="283"/>
    </row>
    <row r="133" spans="1:9" ht="18.75" x14ac:dyDescent="0.3">
      <c r="A133" s="284"/>
      <c r="B133" s="284"/>
      <c r="C133" s="284"/>
      <c r="D133" s="284"/>
      <c r="E133" s="284"/>
      <c r="F133" s="285"/>
      <c r="G133" s="284"/>
      <c r="H133" s="284"/>
      <c r="I133" s="283"/>
    </row>
    <row r="134" spans="1:9" ht="18.75" x14ac:dyDescent="0.3">
      <c r="A134" s="284"/>
      <c r="B134" s="284"/>
      <c r="C134" s="284"/>
      <c r="D134" s="284"/>
      <c r="E134" s="284"/>
      <c r="F134" s="285"/>
      <c r="G134" s="284"/>
      <c r="H134" s="284"/>
      <c r="I134" s="283"/>
    </row>
    <row r="135" spans="1:9" ht="18.75" x14ac:dyDescent="0.3">
      <c r="A135" s="284"/>
      <c r="B135" s="284"/>
      <c r="C135" s="284"/>
      <c r="D135" s="284"/>
      <c r="E135" s="284"/>
      <c r="F135" s="285"/>
      <c r="G135" s="284"/>
      <c r="H135" s="284"/>
      <c r="I135" s="283"/>
    </row>
    <row r="136" spans="1:9" ht="18.75" x14ac:dyDescent="0.3">
      <c r="A136" s="284"/>
      <c r="B136" s="284"/>
      <c r="C136" s="284"/>
      <c r="D136" s="284"/>
      <c r="E136" s="284"/>
      <c r="F136" s="285"/>
      <c r="G136" s="284"/>
      <c r="H136" s="284"/>
      <c r="I136" s="283"/>
    </row>
    <row r="137" spans="1:9" ht="18.75" x14ac:dyDescent="0.3">
      <c r="A137" s="284"/>
      <c r="B137" s="284"/>
      <c r="C137" s="284"/>
      <c r="D137" s="284"/>
      <c r="E137" s="284"/>
      <c r="F137" s="285"/>
      <c r="G137" s="284"/>
      <c r="H137" s="284"/>
      <c r="I137" s="283"/>
    </row>
    <row r="138" spans="1:9" ht="18.75" x14ac:dyDescent="0.3">
      <c r="A138" s="284"/>
      <c r="B138" s="284"/>
      <c r="C138" s="284"/>
      <c r="D138" s="284"/>
      <c r="E138" s="284"/>
      <c r="F138" s="285"/>
      <c r="G138" s="284"/>
      <c r="H138" s="284"/>
      <c r="I138" s="283"/>
    </row>
    <row r="250" spans="1:1" x14ac:dyDescent="0.25">
      <c r="A250" s="282">
        <v>0</v>
      </c>
    </row>
  </sheetData>
  <sheetProtection password="F258" sheet="1" objects="1" scenarios="1" formatCells="0" formatColumns="0"/>
  <mergeCells count="37">
    <mergeCell ref="I92:I93"/>
    <mergeCell ref="A99:B100"/>
    <mergeCell ref="C68:C71"/>
    <mergeCell ref="D68:D71"/>
    <mergeCell ref="A70:B71"/>
    <mergeCell ref="C76:D76"/>
    <mergeCell ref="D64:D67"/>
    <mergeCell ref="A1:I7"/>
    <mergeCell ref="A8:I14"/>
    <mergeCell ref="A117:B118"/>
    <mergeCell ref="C124:D124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B26:C26"/>
    <mergeCell ref="B127:C127"/>
    <mergeCell ref="G127:H127"/>
    <mergeCell ref="C82:G82"/>
    <mergeCell ref="C84:H84"/>
    <mergeCell ref="C85:H85"/>
    <mergeCell ref="E118:F118"/>
    <mergeCell ref="F89:G89"/>
    <mergeCell ref="B27:C27"/>
    <mergeCell ref="C29:G29"/>
    <mergeCell ref="C31:H31"/>
    <mergeCell ref="A16:H16"/>
    <mergeCell ref="A17:H17"/>
    <mergeCell ref="B18:C18"/>
    <mergeCell ref="B20:C20"/>
    <mergeCell ref="B21:H21"/>
  </mergeCells>
  <conditionalFormatting sqref="E51">
    <cfRule type="cellIs" dxfId="32" priority="1" operator="greaterThan">
      <formula>0.02</formula>
    </cfRule>
  </conditionalFormatting>
  <conditionalFormatting sqref="D51">
    <cfRule type="cellIs" dxfId="31" priority="2" operator="greaterThan">
      <formula>0.02</formula>
    </cfRule>
  </conditionalFormatting>
  <conditionalFormatting sqref="G73">
    <cfRule type="cellIs" dxfId="30" priority="3" operator="greaterThan">
      <formula>0.02</formula>
    </cfRule>
  </conditionalFormatting>
  <conditionalFormatting sqref="H73">
    <cfRule type="cellIs" dxfId="29" priority="4" operator="greaterThan">
      <formula>0.02</formula>
    </cfRule>
  </conditionalFormatting>
  <conditionalFormatting sqref="D104">
    <cfRule type="cellIs" dxfId="28" priority="5" operator="greaterThan">
      <formula>0.02</formula>
    </cfRule>
  </conditionalFormatting>
  <conditionalFormatting sqref="I39">
    <cfRule type="cellIs" dxfId="27" priority="6" operator="lessThanOrEqual">
      <formula>0.02</formula>
    </cfRule>
  </conditionalFormatting>
  <conditionalFormatting sqref="I39">
    <cfRule type="cellIs" dxfId="26" priority="7" operator="greaterThan">
      <formula>0.02</formula>
    </cfRule>
  </conditionalFormatting>
  <conditionalFormatting sqref="I92">
    <cfRule type="cellIs" dxfId="25" priority="8" operator="lessThanOrEqual">
      <formula>0.02</formula>
    </cfRule>
  </conditionalFormatting>
  <conditionalFormatting sqref="I92">
    <cfRule type="cellIs" dxfId="24" priority="9" operator="greaterThan">
      <formula>0.02</formula>
    </cfRule>
  </conditionalFormatting>
  <pageMargins left="0.7" right="0.7" top="0.75" bottom="0.75" header="0.3" footer="0.3"/>
  <pageSetup scale="13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52" sqref="C5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7" t="s">
        <v>0</v>
      </c>
      <c r="B15" s="487"/>
      <c r="C15" s="487"/>
      <c r="D15" s="487"/>
      <c r="E15" s="4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18.25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0.36499999999999999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65595465</v>
      </c>
      <c r="C24" s="18">
        <v>6137.7</v>
      </c>
      <c r="D24" s="19">
        <v>1</v>
      </c>
      <c r="E24" s="20">
        <v>5.3</v>
      </c>
    </row>
    <row r="25" spans="1:6" ht="16.5" customHeight="1" x14ac:dyDescent="0.3">
      <c r="A25" s="17">
        <v>2</v>
      </c>
      <c r="B25" s="18">
        <v>65602143</v>
      </c>
      <c r="C25" s="18">
        <v>6133.6</v>
      </c>
      <c r="D25" s="19">
        <v>1</v>
      </c>
      <c r="E25" s="19">
        <v>5.3</v>
      </c>
    </row>
    <row r="26" spans="1:6" ht="16.5" customHeight="1" x14ac:dyDescent="0.3">
      <c r="A26" s="17">
        <v>3</v>
      </c>
      <c r="B26" s="18">
        <v>65540672</v>
      </c>
      <c r="C26" s="18">
        <v>6105.4</v>
      </c>
      <c r="D26" s="19">
        <v>1</v>
      </c>
      <c r="E26" s="19">
        <v>5.3</v>
      </c>
    </row>
    <row r="27" spans="1:6" ht="16.5" customHeight="1" x14ac:dyDescent="0.3">
      <c r="A27" s="17">
        <v>4</v>
      </c>
      <c r="B27" s="18">
        <v>65823220</v>
      </c>
      <c r="C27" s="18">
        <v>6085.1</v>
      </c>
      <c r="D27" s="19">
        <v>1</v>
      </c>
      <c r="E27" s="19">
        <v>5.3</v>
      </c>
    </row>
    <row r="28" spans="1:6" ht="16.5" customHeight="1" x14ac:dyDescent="0.3">
      <c r="A28" s="17">
        <v>5</v>
      </c>
      <c r="B28" s="18">
        <v>65694806</v>
      </c>
      <c r="C28" s="18">
        <v>6061.7</v>
      </c>
      <c r="D28" s="19">
        <v>1</v>
      </c>
      <c r="E28" s="19">
        <v>5.3</v>
      </c>
    </row>
    <row r="29" spans="1:6" ht="16.5" customHeight="1" x14ac:dyDescent="0.3">
      <c r="A29" s="17">
        <v>6</v>
      </c>
      <c r="B29" s="21">
        <v>65858264</v>
      </c>
      <c r="C29" s="21">
        <v>6040.7</v>
      </c>
      <c r="D29" s="22">
        <v>1</v>
      </c>
      <c r="E29" s="22">
        <v>5.3</v>
      </c>
    </row>
    <row r="30" spans="1:6" ht="16.5" customHeight="1" x14ac:dyDescent="0.3">
      <c r="A30" s="23" t="s">
        <v>18</v>
      </c>
      <c r="B30" s="24">
        <f>AVERAGE(B24:B29)</f>
        <v>65685761.666666664</v>
      </c>
      <c r="C30" s="25">
        <f>AVERAGE(C24:C29)</f>
        <v>6094.0333333333328</v>
      </c>
      <c r="D30" s="26">
        <f>AVERAGE(D24:D29)</f>
        <v>1</v>
      </c>
      <c r="E30" s="26">
        <f>AVERAGE(E24:E29)</f>
        <v>5.3</v>
      </c>
    </row>
    <row r="31" spans="1:6" ht="16.5" customHeight="1" x14ac:dyDescent="0.3">
      <c r="A31" s="27" t="s">
        <v>19</v>
      </c>
      <c r="B31" s="28">
        <f>(STDEV(B24:B29)/B30)</f>
        <v>1.9841518470710461E-3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18.25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B41/50*3/50</f>
        <v>2.1899999999999999E-2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65595465</v>
      </c>
      <c r="C45" s="18">
        <v>6137.7</v>
      </c>
      <c r="D45" s="19">
        <v>1</v>
      </c>
      <c r="E45" s="20">
        <v>5.3</v>
      </c>
    </row>
    <row r="46" spans="1:6" ht="16.5" customHeight="1" x14ac:dyDescent="0.3">
      <c r="A46" s="17">
        <v>2</v>
      </c>
      <c r="B46" s="18">
        <v>65602143</v>
      </c>
      <c r="C46" s="18">
        <v>6133.6</v>
      </c>
      <c r="D46" s="19">
        <v>1</v>
      </c>
      <c r="E46" s="19">
        <v>5.3</v>
      </c>
    </row>
    <row r="47" spans="1:6" ht="16.5" customHeight="1" x14ac:dyDescent="0.3">
      <c r="A47" s="17">
        <v>3</v>
      </c>
      <c r="B47" s="18">
        <v>65540672</v>
      </c>
      <c r="C47" s="18">
        <v>6105.4</v>
      </c>
      <c r="D47" s="19">
        <v>1</v>
      </c>
      <c r="E47" s="19">
        <v>5.3</v>
      </c>
    </row>
    <row r="48" spans="1:6" ht="16.5" customHeight="1" x14ac:dyDescent="0.3">
      <c r="A48" s="17">
        <v>4</v>
      </c>
      <c r="B48" s="18">
        <v>65823220</v>
      </c>
      <c r="C48" s="18">
        <v>6085.1</v>
      </c>
      <c r="D48" s="19">
        <v>1</v>
      </c>
      <c r="E48" s="19">
        <v>5.3</v>
      </c>
    </row>
    <row r="49" spans="1:7" ht="16.5" customHeight="1" x14ac:dyDescent="0.3">
      <c r="A49" s="17">
        <v>5</v>
      </c>
      <c r="B49" s="18">
        <v>65694806</v>
      </c>
      <c r="C49" s="18">
        <v>6061.7</v>
      </c>
      <c r="D49" s="19">
        <v>1</v>
      </c>
      <c r="E49" s="19">
        <v>5.3</v>
      </c>
    </row>
    <row r="50" spans="1:7" ht="16.5" customHeight="1" x14ac:dyDescent="0.3">
      <c r="A50" s="17">
        <v>6</v>
      </c>
      <c r="B50" s="21">
        <v>65858264</v>
      </c>
      <c r="C50" s="21">
        <v>6040.7</v>
      </c>
      <c r="D50" s="22">
        <v>1</v>
      </c>
      <c r="E50" s="22">
        <v>5.3</v>
      </c>
    </row>
    <row r="51" spans="1:7" ht="16.5" customHeight="1" x14ac:dyDescent="0.3">
      <c r="A51" s="23" t="s">
        <v>18</v>
      </c>
      <c r="B51" s="24">
        <f>AVERAGE(B45:B50)</f>
        <v>65685761.666666664</v>
      </c>
      <c r="C51" s="25">
        <f>AVERAGE(C45:C50)</f>
        <v>6094.0333333333328</v>
      </c>
      <c r="D51" s="26">
        <f>AVERAGE(D45:D50)</f>
        <v>1</v>
      </c>
      <c r="E51" s="26">
        <f>AVERAGE(E45:E50)</f>
        <v>5.3</v>
      </c>
    </row>
    <row r="52" spans="1:7" ht="16.5" customHeight="1" x14ac:dyDescent="0.3">
      <c r="A52" s="27" t="s">
        <v>19</v>
      </c>
      <c r="B52" s="28">
        <f>(STDEV(B45:B50)/B51)</f>
        <v>1.9841518470710461E-3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88" t="s">
        <v>26</v>
      </c>
      <c r="C59" s="48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54" sqref="C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92" t="s">
        <v>31</v>
      </c>
      <c r="B11" s="493"/>
      <c r="C11" s="493"/>
      <c r="D11" s="493"/>
      <c r="E11" s="493"/>
      <c r="F11" s="494"/>
      <c r="G11" s="91"/>
    </row>
    <row r="12" spans="1:7" ht="16.5" customHeight="1" x14ac:dyDescent="0.3">
      <c r="A12" s="491" t="s">
        <v>32</v>
      </c>
      <c r="B12" s="491"/>
      <c r="C12" s="491"/>
      <c r="D12" s="491"/>
      <c r="E12" s="491"/>
      <c r="F12" s="491"/>
      <c r="G12" s="90"/>
    </row>
    <row r="14" spans="1:7" ht="16.5" customHeight="1" x14ac:dyDescent="0.3">
      <c r="A14" s="496" t="s">
        <v>33</v>
      </c>
      <c r="B14" s="496"/>
      <c r="C14" s="60" t="s">
        <v>5</v>
      </c>
    </row>
    <row r="15" spans="1:7" ht="16.5" customHeight="1" x14ac:dyDescent="0.3">
      <c r="A15" s="496" t="s">
        <v>34</v>
      </c>
      <c r="B15" s="496"/>
      <c r="C15" s="60" t="s">
        <v>7</v>
      </c>
    </row>
    <row r="16" spans="1:7" ht="16.5" customHeight="1" x14ac:dyDescent="0.3">
      <c r="A16" s="496" t="s">
        <v>35</v>
      </c>
      <c r="B16" s="496"/>
      <c r="C16" s="60" t="s">
        <v>9</v>
      </c>
    </row>
    <row r="17" spans="1:5" ht="16.5" customHeight="1" x14ac:dyDescent="0.3">
      <c r="A17" s="496" t="s">
        <v>36</v>
      </c>
      <c r="B17" s="496"/>
      <c r="C17" s="60" t="s">
        <v>11</v>
      </c>
    </row>
    <row r="18" spans="1:5" ht="16.5" customHeight="1" x14ac:dyDescent="0.3">
      <c r="A18" s="496" t="s">
        <v>37</v>
      </c>
      <c r="B18" s="496"/>
      <c r="C18" s="97" t="s">
        <v>12</v>
      </c>
    </row>
    <row r="19" spans="1:5" ht="16.5" customHeight="1" x14ac:dyDescent="0.3">
      <c r="A19" s="496" t="s">
        <v>38</v>
      </c>
      <c r="B19" s="49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91" t="s">
        <v>1</v>
      </c>
      <c r="B21" s="491"/>
      <c r="C21" s="59" t="s">
        <v>39</v>
      </c>
      <c r="D21" s="66"/>
    </row>
    <row r="22" spans="1:5" ht="15.75" customHeight="1" x14ac:dyDescent="0.3">
      <c r="A22" s="495"/>
      <c r="B22" s="495"/>
      <c r="C22" s="57"/>
      <c r="D22" s="495"/>
      <c r="E22" s="49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198.93</v>
      </c>
      <c r="D24" s="87">
        <f t="shared" ref="D24:D43" si="0">(C24-$C$46)/$C$46</f>
        <v>-1.9556624510838044E-2</v>
      </c>
      <c r="E24" s="53"/>
    </row>
    <row r="25" spans="1:5" ht="15.75" customHeight="1" x14ac:dyDescent="0.3">
      <c r="C25" s="95">
        <v>206.12</v>
      </c>
      <c r="D25" s="88">
        <f t="shared" si="0"/>
        <v>1.5879900245443421E-2</v>
      </c>
      <c r="E25" s="53"/>
    </row>
    <row r="26" spans="1:5" ht="15.75" customHeight="1" x14ac:dyDescent="0.3">
      <c r="C26" s="95">
        <v>206.8</v>
      </c>
      <c r="D26" s="88">
        <f t="shared" si="0"/>
        <v>1.9231337913631411E-2</v>
      </c>
      <c r="E26" s="53"/>
    </row>
    <row r="27" spans="1:5" ht="15.75" customHeight="1" x14ac:dyDescent="0.3">
      <c r="C27" s="95">
        <v>204.98</v>
      </c>
      <c r="D27" s="88">
        <f t="shared" si="0"/>
        <v>1.0261313566422365E-2</v>
      </c>
      <c r="E27" s="53"/>
    </row>
    <row r="28" spans="1:5" ht="15.75" customHeight="1" x14ac:dyDescent="0.3">
      <c r="C28" s="95">
        <v>198.6</v>
      </c>
      <c r="D28" s="88">
        <f t="shared" si="0"/>
        <v>-2.1183057496870494E-2</v>
      </c>
      <c r="E28" s="53"/>
    </row>
    <row r="29" spans="1:5" ht="15.75" customHeight="1" x14ac:dyDescent="0.3">
      <c r="C29" s="95">
        <v>198.85</v>
      </c>
      <c r="D29" s="88">
        <f t="shared" si="0"/>
        <v>-1.9950911295330807E-2</v>
      </c>
      <c r="E29" s="53"/>
    </row>
    <row r="30" spans="1:5" ht="15.75" customHeight="1" x14ac:dyDescent="0.3">
      <c r="C30" s="95">
        <v>201.99</v>
      </c>
      <c r="D30" s="88">
        <f t="shared" si="0"/>
        <v>-4.475155003992229E-3</v>
      </c>
      <c r="E30" s="53"/>
    </row>
    <row r="31" spans="1:5" ht="15.75" customHeight="1" x14ac:dyDescent="0.3">
      <c r="C31" s="95">
        <v>203.95</v>
      </c>
      <c r="D31" s="88">
        <f t="shared" si="0"/>
        <v>5.1848712160788377E-3</v>
      </c>
      <c r="E31" s="53"/>
    </row>
    <row r="32" spans="1:5" ht="15.75" customHeight="1" x14ac:dyDescent="0.3">
      <c r="C32" s="95">
        <v>201.38</v>
      </c>
      <c r="D32" s="88">
        <f t="shared" si="0"/>
        <v>-7.4815917357491397E-3</v>
      </c>
      <c r="E32" s="53"/>
    </row>
    <row r="33" spans="1:7" ht="15.75" customHeight="1" x14ac:dyDescent="0.3">
      <c r="C33" s="95">
        <v>203.11</v>
      </c>
      <c r="D33" s="88">
        <f t="shared" si="0"/>
        <v>1.044859978905603E-3</v>
      </c>
      <c r="E33" s="53"/>
    </row>
    <row r="34" spans="1:7" ht="15.75" customHeight="1" x14ac:dyDescent="0.3">
      <c r="C34" s="95">
        <v>199.66</v>
      </c>
      <c r="D34" s="88">
        <f t="shared" si="0"/>
        <v>-1.5958757602342201E-2</v>
      </c>
      <c r="E34" s="53"/>
    </row>
    <row r="35" spans="1:7" ht="15.75" customHeight="1" x14ac:dyDescent="0.3">
      <c r="C35" s="95">
        <v>204.84</v>
      </c>
      <c r="D35" s="88">
        <f t="shared" si="0"/>
        <v>9.5713116935602065E-3</v>
      </c>
      <c r="E35" s="53"/>
    </row>
    <row r="36" spans="1:7" ht="15.75" customHeight="1" x14ac:dyDescent="0.3">
      <c r="C36" s="95">
        <v>207.64</v>
      </c>
      <c r="D36" s="88">
        <f t="shared" si="0"/>
        <v>2.3371349150804646E-2</v>
      </c>
      <c r="E36" s="53"/>
    </row>
    <row r="37" spans="1:7" ht="15.75" customHeight="1" x14ac:dyDescent="0.3">
      <c r="C37" s="95">
        <v>202.88</v>
      </c>
      <c r="D37" s="88">
        <f t="shared" si="0"/>
        <v>-8.8714526511001103E-5</v>
      </c>
      <c r="E37" s="53"/>
    </row>
    <row r="38" spans="1:7" ht="15.75" customHeight="1" x14ac:dyDescent="0.3">
      <c r="C38" s="95">
        <v>202.58</v>
      </c>
      <c r="D38" s="88">
        <f t="shared" si="0"/>
        <v>-1.5672899683585447E-3</v>
      </c>
      <c r="E38" s="53"/>
    </row>
    <row r="39" spans="1:7" ht="15.75" customHeight="1" x14ac:dyDescent="0.3">
      <c r="C39" s="95">
        <v>205.84</v>
      </c>
      <c r="D39" s="88">
        <f t="shared" si="0"/>
        <v>1.4499896499718964E-2</v>
      </c>
      <c r="E39" s="53"/>
    </row>
    <row r="40" spans="1:7" ht="15.75" customHeight="1" x14ac:dyDescent="0.3">
      <c r="C40" s="95">
        <v>205.57</v>
      </c>
      <c r="D40" s="88">
        <f t="shared" si="0"/>
        <v>1.3169178602056049E-2</v>
      </c>
      <c r="E40" s="53"/>
    </row>
    <row r="41" spans="1:7" ht="15.75" customHeight="1" x14ac:dyDescent="0.3">
      <c r="C41" s="95">
        <v>203.62</v>
      </c>
      <c r="D41" s="88">
        <f t="shared" si="0"/>
        <v>3.5584382300465254E-3</v>
      </c>
      <c r="E41" s="53"/>
    </row>
    <row r="42" spans="1:7" ht="15.75" customHeight="1" x14ac:dyDescent="0.3">
      <c r="C42" s="95">
        <v>199.84</v>
      </c>
      <c r="D42" s="88">
        <f t="shared" si="0"/>
        <v>-1.507161233723359E-2</v>
      </c>
      <c r="E42" s="53"/>
    </row>
    <row r="43" spans="1:7" ht="16.5" customHeight="1" x14ac:dyDescent="0.3">
      <c r="C43" s="96">
        <v>200.78</v>
      </c>
      <c r="D43" s="89">
        <f t="shared" si="0"/>
        <v>-1.0438742619444366E-2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4057.9600000000005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202.89800000000002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89">
        <f>C46</f>
        <v>202.89800000000002</v>
      </c>
      <c r="C49" s="93">
        <f>-IF(C46&lt;=80,10%,IF(C46&lt;250,7.5%,5%))</f>
        <v>-7.4999999999999997E-2</v>
      </c>
      <c r="D49" s="81">
        <f>IF(C46&lt;=80,C46*0.9,IF(C46&lt;250,C46*0.925,C46*0.95))</f>
        <v>187.68065000000004</v>
      </c>
    </row>
    <row r="50" spans="1:6" ht="17.25" customHeight="1" x14ac:dyDescent="0.3">
      <c r="B50" s="490"/>
      <c r="C50" s="94">
        <f>IF(C46&lt;=80, 10%, IF(C46&lt;250, 7.5%, 5%))</f>
        <v>7.4999999999999997E-2</v>
      </c>
      <c r="D50" s="81">
        <f>IF(C46&lt;=80, C46*1.1, IF(C46&lt;250, C46*1.075, C46*1.05))</f>
        <v>218.11535000000001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106" zoomScale="70" zoomScaleNormal="70" zoomScaleSheetLayoutView="70" workbookViewId="0">
      <selection activeCell="A132" sqref="A132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511" t="s">
        <v>45</v>
      </c>
      <c r="B1" s="511"/>
      <c r="C1" s="511"/>
      <c r="D1" s="511"/>
      <c r="E1" s="511"/>
      <c r="F1" s="511"/>
      <c r="G1" s="511"/>
    </row>
    <row r="2" spans="1:7" x14ac:dyDescent="0.2">
      <c r="A2" s="511"/>
      <c r="B2" s="511"/>
      <c r="C2" s="511"/>
      <c r="D2" s="511"/>
      <c r="E2" s="511"/>
      <c r="F2" s="511"/>
      <c r="G2" s="511"/>
    </row>
    <row r="3" spans="1:7" x14ac:dyDescent="0.2">
      <c r="A3" s="511"/>
      <c r="B3" s="511"/>
      <c r="C3" s="511"/>
      <c r="D3" s="511"/>
      <c r="E3" s="511"/>
      <c r="F3" s="511"/>
      <c r="G3" s="511"/>
    </row>
    <row r="4" spans="1:7" x14ac:dyDescent="0.2">
      <c r="A4" s="511"/>
      <c r="B4" s="511"/>
      <c r="C4" s="511"/>
      <c r="D4" s="511"/>
      <c r="E4" s="511"/>
      <c r="F4" s="511"/>
      <c r="G4" s="511"/>
    </row>
    <row r="5" spans="1:7" x14ac:dyDescent="0.2">
      <c r="A5" s="511"/>
      <c r="B5" s="511"/>
      <c r="C5" s="511"/>
      <c r="D5" s="511"/>
      <c r="E5" s="511"/>
      <c r="F5" s="511"/>
      <c r="G5" s="511"/>
    </row>
    <row r="6" spans="1:7" x14ac:dyDescent="0.2">
      <c r="A6" s="511"/>
      <c r="B6" s="511"/>
      <c r="C6" s="511"/>
      <c r="D6" s="511"/>
      <c r="E6" s="511"/>
      <c r="F6" s="511"/>
      <c r="G6" s="511"/>
    </row>
    <row r="7" spans="1:7" x14ac:dyDescent="0.2">
      <c r="A7" s="511"/>
      <c r="B7" s="511"/>
      <c r="C7" s="511"/>
      <c r="D7" s="511"/>
      <c r="E7" s="511"/>
      <c r="F7" s="511"/>
      <c r="G7" s="511"/>
    </row>
    <row r="8" spans="1:7" x14ac:dyDescent="0.2">
      <c r="A8" s="512" t="s">
        <v>46</v>
      </c>
      <c r="B8" s="512"/>
      <c r="C8" s="512"/>
      <c r="D8" s="512"/>
      <c r="E8" s="512"/>
      <c r="F8" s="512"/>
      <c r="G8" s="512"/>
    </row>
    <row r="9" spans="1:7" x14ac:dyDescent="0.2">
      <c r="A9" s="512"/>
      <c r="B9" s="512"/>
      <c r="C9" s="512"/>
      <c r="D9" s="512"/>
      <c r="E9" s="512"/>
      <c r="F9" s="512"/>
      <c r="G9" s="512"/>
    </row>
    <row r="10" spans="1:7" x14ac:dyDescent="0.2">
      <c r="A10" s="512"/>
      <c r="B10" s="512"/>
      <c r="C10" s="512"/>
      <c r="D10" s="512"/>
      <c r="E10" s="512"/>
      <c r="F10" s="512"/>
      <c r="G10" s="512"/>
    </row>
    <row r="11" spans="1:7" x14ac:dyDescent="0.2">
      <c r="A11" s="512"/>
      <c r="B11" s="512"/>
      <c r="C11" s="512"/>
      <c r="D11" s="512"/>
      <c r="E11" s="512"/>
      <c r="F11" s="512"/>
      <c r="G11" s="512"/>
    </row>
    <row r="12" spans="1:7" x14ac:dyDescent="0.2">
      <c r="A12" s="512"/>
      <c r="B12" s="512"/>
      <c r="C12" s="512"/>
      <c r="D12" s="512"/>
      <c r="E12" s="512"/>
      <c r="F12" s="512"/>
      <c r="G12" s="512"/>
    </row>
    <row r="13" spans="1:7" x14ac:dyDescent="0.2">
      <c r="A13" s="512"/>
      <c r="B13" s="512"/>
      <c r="C13" s="512"/>
      <c r="D13" s="512"/>
      <c r="E13" s="512"/>
      <c r="F13" s="512"/>
      <c r="G13" s="512"/>
    </row>
    <row r="14" spans="1:7" x14ac:dyDescent="0.2">
      <c r="A14" s="512"/>
      <c r="B14" s="512"/>
      <c r="C14" s="512"/>
      <c r="D14" s="512"/>
      <c r="E14" s="512"/>
      <c r="F14" s="512"/>
      <c r="G14" s="512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497" t="s">
        <v>31</v>
      </c>
      <c r="B16" s="498"/>
      <c r="C16" s="498"/>
      <c r="D16" s="498"/>
      <c r="E16" s="498"/>
      <c r="F16" s="498"/>
      <c r="G16" s="498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499" t="s">
        <v>5</v>
      </c>
      <c r="C18" s="499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272" t="s">
        <v>7</v>
      </c>
      <c r="C19" s="98">
        <v>36</v>
      </c>
      <c r="E19" s="98"/>
      <c r="F19" s="98"/>
      <c r="G19" s="98"/>
    </row>
    <row r="20" spans="1:7" ht="26.25" customHeight="1" x14ac:dyDescent="0.4">
      <c r="A20" s="100" t="s">
        <v>35</v>
      </c>
      <c r="B20" s="500" t="s">
        <v>9</v>
      </c>
      <c r="C20" s="500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 t="s">
        <v>12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4"/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499" t="s">
        <v>124</v>
      </c>
      <c r="C26" s="499"/>
      <c r="D26" s="98"/>
      <c r="E26" s="98"/>
      <c r="F26" s="98"/>
      <c r="G26" s="98"/>
    </row>
    <row r="27" spans="1:7" ht="26.25" customHeight="1" x14ac:dyDescent="0.4">
      <c r="A27" s="109" t="s">
        <v>48</v>
      </c>
      <c r="B27" s="500" t="s">
        <v>125</v>
      </c>
      <c r="C27" s="500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99.4</v>
      </c>
      <c r="C28" s="98"/>
      <c r="D28" s="98"/>
      <c r="E28" s="98"/>
      <c r="F28" s="98"/>
      <c r="G28" s="98"/>
    </row>
    <row r="29" spans="1:7" ht="27" customHeight="1" x14ac:dyDescent="0.4">
      <c r="A29" s="109" t="s">
        <v>49</v>
      </c>
      <c r="B29" s="111">
        <v>0</v>
      </c>
      <c r="C29" s="501" t="s">
        <v>50</v>
      </c>
      <c r="D29" s="502"/>
      <c r="E29" s="502"/>
      <c r="F29" s="502"/>
      <c r="G29" s="503"/>
    </row>
    <row r="30" spans="1:7" ht="19.5" customHeight="1" x14ac:dyDescent="0.3">
      <c r="A30" s="109" t="s">
        <v>51</v>
      </c>
      <c r="B30" s="113">
        <f>B28-B29</f>
        <v>99.4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52</v>
      </c>
      <c r="B31" s="115">
        <v>1</v>
      </c>
      <c r="C31" s="501" t="s">
        <v>53</v>
      </c>
      <c r="D31" s="502"/>
      <c r="E31" s="502"/>
      <c r="F31" s="502"/>
      <c r="G31" s="503"/>
    </row>
    <row r="32" spans="1:7" ht="27" customHeight="1" x14ac:dyDescent="0.4">
      <c r="A32" s="109" t="s">
        <v>54</v>
      </c>
      <c r="B32" s="115">
        <v>1</v>
      </c>
      <c r="C32" s="501" t="s">
        <v>55</v>
      </c>
      <c r="D32" s="502"/>
      <c r="E32" s="502"/>
      <c r="F32" s="502"/>
      <c r="G32" s="503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56</v>
      </c>
      <c r="B34" s="118">
        <f>B31/B32</f>
        <v>1</v>
      </c>
      <c r="C34" s="98" t="s">
        <v>57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58</v>
      </c>
      <c r="B36" s="120">
        <v>50</v>
      </c>
      <c r="C36" s="98"/>
      <c r="D36" s="504" t="s">
        <v>59</v>
      </c>
      <c r="E36" s="505"/>
      <c r="F36" s="504" t="s">
        <v>60</v>
      </c>
      <c r="G36" s="506"/>
    </row>
    <row r="37" spans="1:7" ht="26.25" customHeight="1" x14ac:dyDescent="0.4">
      <c r="A37" s="121" t="s">
        <v>61</v>
      </c>
      <c r="B37" s="122">
        <v>5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</row>
    <row r="38" spans="1:7" ht="26.25" customHeight="1" x14ac:dyDescent="0.4">
      <c r="A38" s="121" t="s">
        <v>65</v>
      </c>
      <c r="B38" s="122">
        <v>10</v>
      </c>
      <c r="C38" s="127">
        <v>1</v>
      </c>
      <c r="D38" s="128">
        <v>33091777</v>
      </c>
      <c r="E38" s="129">
        <f>IF(ISBLANK(D38),"-",$D$48/$D$45*D38)</f>
        <v>36483864.281579882</v>
      </c>
      <c r="F38" s="128">
        <v>36869053</v>
      </c>
      <c r="G38" s="130">
        <f>IF(ISBLANK(F38),"-",$D$48/$F$45*F38)</f>
        <v>37036048.542879835</v>
      </c>
    </row>
    <row r="39" spans="1:7" ht="26.25" customHeight="1" x14ac:dyDescent="0.4">
      <c r="A39" s="121" t="s">
        <v>66</v>
      </c>
      <c r="B39" s="122">
        <v>1</v>
      </c>
      <c r="C39" s="131">
        <v>2</v>
      </c>
      <c r="D39" s="132">
        <v>33109097</v>
      </c>
      <c r="E39" s="133">
        <f>IF(ISBLANK(D39),"-",$D$48/$D$45*D39)</f>
        <v>36502959.675863393</v>
      </c>
      <c r="F39" s="132">
        <v>36860066</v>
      </c>
      <c r="G39" s="134">
        <f>IF(ISBLANK(F39),"-",$D$48/$F$45*F39)</f>
        <v>37027020.836953819</v>
      </c>
    </row>
    <row r="40" spans="1:7" ht="26.25" customHeight="1" x14ac:dyDescent="0.4">
      <c r="A40" s="121" t="s">
        <v>67</v>
      </c>
      <c r="B40" s="122">
        <v>1</v>
      </c>
      <c r="C40" s="131">
        <v>3</v>
      </c>
      <c r="D40" s="132">
        <v>33123618</v>
      </c>
      <c r="E40" s="133">
        <f>IF(ISBLANK(D40),"-",$D$48/$D$45*D40)</f>
        <v>36518969.157410204</v>
      </c>
      <c r="F40" s="132">
        <v>36772204</v>
      </c>
      <c r="G40" s="134">
        <f>IF(ISBLANK(F40),"-",$D$48/$F$45*F40)</f>
        <v>36938760.872775339</v>
      </c>
    </row>
    <row r="41" spans="1:7" ht="26.25" customHeight="1" x14ac:dyDescent="0.4">
      <c r="A41" s="121" t="s">
        <v>68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69</v>
      </c>
      <c r="B42" s="122">
        <v>1</v>
      </c>
      <c r="C42" s="139" t="s">
        <v>70</v>
      </c>
      <c r="D42" s="140">
        <f>AVERAGE(D38:D41)</f>
        <v>33108164</v>
      </c>
      <c r="E42" s="141">
        <f>AVERAGE(E38:E41)</f>
        <v>36501931.038284488</v>
      </c>
      <c r="F42" s="140">
        <f>AVERAGE(F38:F41)</f>
        <v>36833774.333333336</v>
      </c>
      <c r="G42" s="142">
        <f>AVERAGE(G38:G41)</f>
        <v>37000610.084202997</v>
      </c>
    </row>
    <row r="43" spans="1:7" ht="26.25" customHeight="1" x14ac:dyDescent="0.4">
      <c r="A43" s="121" t="s">
        <v>71</v>
      </c>
      <c r="B43" s="122">
        <v>1</v>
      </c>
      <c r="C43" s="143" t="s">
        <v>72</v>
      </c>
      <c r="D43" s="144">
        <v>18.25</v>
      </c>
      <c r="E43" s="145"/>
      <c r="F43" s="144">
        <v>20.03</v>
      </c>
      <c r="G43" s="98"/>
    </row>
    <row r="44" spans="1:7" ht="26.25" customHeight="1" x14ac:dyDescent="0.4">
      <c r="A44" s="121" t="s">
        <v>73</v>
      </c>
      <c r="B44" s="122">
        <v>1</v>
      </c>
      <c r="C44" s="146" t="s">
        <v>74</v>
      </c>
      <c r="D44" s="147">
        <f>D43*$B$34</f>
        <v>18.25</v>
      </c>
      <c r="E44" s="148"/>
      <c r="F44" s="147">
        <f>F43*$B$34</f>
        <v>20.03</v>
      </c>
      <c r="G44" s="98"/>
    </row>
    <row r="45" spans="1:7" ht="19.5" customHeight="1" x14ac:dyDescent="0.3">
      <c r="A45" s="121" t="s">
        <v>75</v>
      </c>
      <c r="B45" s="149">
        <f>(B44/B43)*(B42/B41)*(B40/B39)*(B38/B37)*B36</f>
        <v>100</v>
      </c>
      <c r="C45" s="146" t="s">
        <v>76</v>
      </c>
      <c r="D45" s="150">
        <f>D44*$B$30/100</f>
        <v>18.140500000000003</v>
      </c>
      <c r="E45" s="151"/>
      <c r="F45" s="150">
        <f>F44*$B$30/100</f>
        <v>19.909820000000003</v>
      </c>
      <c r="G45" s="98"/>
    </row>
    <row r="46" spans="1:7" ht="19.5" customHeight="1" x14ac:dyDescent="0.3">
      <c r="A46" s="507" t="s">
        <v>77</v>
      </c>
      <c r="B46" s="508"/>
      <c r="C46" s="146" t="s">
        <v>78</v>
      </c>
      <c r="D46" s="147">
        <f>D45/$B$45</f>
        <v>0.18140500000000004</v>
      </c>
      <c r="E46" s="151"/>
      <c r="F46" s="152">
        <f>F45/$B$45</f>
        <v>0.19909820000000003</v>
      </c>
      <c r="G46" s="98"/>
    </row>
    <row r="47" spans="1:7" ht="27" customHeight="1" x14ac:dyDescent="0.4">
      <c r="A47" s="509"/>
      <c r="B47" s="510"/>
      <c r="C47" s="153" t="s">
        <v>79</v>
      </c>
      <c r="D47" s="154">
        <v>0.2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80</v>
      </c>
      <c r="D48" s="150">
        <f>D47*$B$45</f>
        <v>20</v>
      </c>
      <c r="E48" s="98"/>
      <c r="F48" s="155"/>
      <c r="G48" s="98"/>
    </row>
    <row r="49" spans="1:7" ht="19.5" customHeight="1" x14ac:dyDescent="0.3">
      <c r="A49" s="98"/>
      <c r="B49" s="98"/>
      <c r="C49" s="157" t="s">
        <v>81</v>
      </c>
      <c r="D49" s="158">
        <f>D48/B34</f>
        <v>20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82</v>
      </c>
      <c r="D50" s="159">
        <f>AVERAGE(E38:E41,G38:G41)</f>
        <v>36751270.56124375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83</v>
      </c>
      <c r="D51" s="161">
        <f>STDEV(E38:E41,G38:G41)/D50</f>
        <v>7.4955141040029261E-3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6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84</v>
      </c>
      <c r="C54" s="98"/>
      <c r="D54" s="98"/>
      <c r="E54" s="98"/>
      <c r="F54" s="98"/>
      <c r="G54" s="98"/>
    </row>
    <row r="55" spans="1:7" ht="18.75" customHeight="1" x14ac:dyDescent="0.3">
      <c r="A55" s="98" t="s">
        <v>85</v>
      </c>
      <c r="B55" s="165" t="str">
        <f>B21</f>
        <v>Each uncoated tablet contains Torsemide USP 20 mg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86</v>
      </c>
      <c r="B56" s="167">
        <v>20</v>
      </c>
      <c r="C56" s="98" t="str">
        <f>B20</f>
        <v>Torsemide USP</v>
      </c>
      <c r="D56" s="98"/>
      <c r="E56" s="98"/>
      <c r="F56" s="98"/>
      <c r="G56" s="98"/>
    </row>
    <row r="57" spans="1:7" ht="17.25" customHeight="1" x14ac:dyDescent="0.3">
      <c r="A57" s="168" t="s">
        <v>87</v>
      </c>
      <c r="B57" s="168">
        <f>Uniformity!C46</f>
        <v>202.89800000000002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88</v>
      </c>
      <c r="B58" s="120">
        <v>100</v>
      </c>
      <c r="C58" s="170" t="s">
        <v>89</v>
      </c>
      <c r="D58" s="171" t="s">
        <v>90</v>
      </c>
      <c r="E58" s="172" t="s">
        <v>91</v>
      </c>
      <c r="F58" s="173" t="s">
        <v>92</v>
      </c>
      <c r="G58" s="174" t="s">
        <v>93</v>
      </c>
    </row>
    <row r="59" spans="1:7" ht="26.25" customHeight="1" x14ac:dyDescent="0.4">
      <c r="A59" s="121" t="s">
        <v>61</v>
      </c>
      <c r="B59" s="122">
        <v>1</v>
      </c>
      <c r="C59" s="175">
        <v>1</v>
      </c>
      <c r="D59" s="275">
        <v>35360903</v>
      </c>
      <c r="E59" s="176">
        <f t="shared" ref="E59:E68" si="0">IF(ISBLANK(D59),"-",D59/$D$50*$D$47*$B$67)</f>
        <v>19.243363540900287</v>
      </c>
      <c r="F59" s="177">
        <f t="shared" ref="F59:F68" si="1">IF(ISBLANK(D59),"-",E59/$E$70*100)</f>
        <v>99.637909416958763</v>
      </c>
      <c r="G59" s="178">
        <f t="shared" ref="G59:G68" si="2">IF(ISBLANK(D59),"-",E59/$B$56*100)</f>
        <v>96.216817704501437</v>
      </c>
    </row>
    <row r="60" spans="1:7" ht="26.25" customHeight="1" x14ac:dyDescent="0.4">
      <c r="A60" s="121" t="s">
        <v>65</v>
      </c>
      <c r="B60" s="122">
        <v>1</v>
      </c>
      <c r="C60" s="179">
        <v>2</v>
      </c>
      <c r="D60" s="276">
        <v>35688203</v>
      </c>
      <c r="E60" s="180">
        <f t="shared" si="0"/>
        <v>19.421479831848419</v>
      </c>
      <c r="F60" s="181">
        <f t="shared" si="1"/>
        <v>100.56015644645828</v>
      </c>
      <c r="G60" s="182">
        <f t="shared" si="2"/>
        <v>97.107399159242092</v>
      </c>
    </row>
    <row r="61" spans="1:7" ht="26.25" customHeight="1" x14ac:dyDescent="0.4">
      <c r="A61" s="121" t="s">
        <v>66</v>
      </c>
      <c r="B61" s="122">
        <v>1</v>
      </c>
      <c r="C61" s="179">
        <v>3</v>
      </c>
      <c r="D61" s="276">
        <v>35467757</v>
      </c>
      <c r="E61" s="180">
        <f t="shared" si="0"/>
        <v>19.301513367215509</v>
      </c>
      <c r="F61" s="181">
        <f t="shared" si="1"/>
        <v>99.938996444426351</v>
      </c>
      <c r="G61" s="182">
        <f t="shared" si="2"/>
        <v>96.507566836077558</v>
      </c>
    </row>
    <row r="62" spans="1:7" ht="26.25" customHeight="1" x14ac:dyDescent="0.4">
      <c r="A62" s="121" t="s">
        <v>67</v>
      </c>
      <c r="B62" s="122">
        <v>1</v>
      </c>
      <c r="C62" s="179">
        <v>4</v>
      </c>
      <c r="D62" s="276">
        <v>35643683</v>
      </c>
      <c r="E62" s="180">
        <f t="shared" si="0"/>
        <v>19.397252098047591</v>
      </c>
      <c r="F62" s="181">
        <f t="shared" si="1"/>
        <v>100.43471056270235</v>
      </c>
      <c r="G62" s="182">
        <f t="shared" si="2"/>
        <v>96.986260490237953</v>
      </c>
    </row>
    <row r="63" spans="1:7" ht="26.25" customHeight="1" x14ac:dyDescent="0.4">
      <c r="A63" s="121" t="s">
        <v>68</v>
      </c>
      <c r="B63" s="122">
        <v>1</v>
      </c>
      <c r="C63" s="179">
        <v>5</v>
      </c>
      <c r="D63" s="276">
        <v>35385996</v>
      </c>
      <c r="E63" s="180">
        <f t="shared" si="0"/>
        <v>19.257019123206309</v>
      </c>
      <c r="F63" s="181">
        <f t="shared" si="1"/>
        <v>99.708615022553715</v>
      </c>
      <c r="G63" s="182">
        <f t="shared" si="2"/>
        <v>96.285095616031541</v>
      </c>
    </row>
    <row r="64" spans="1:7" ht="26.25" customHeight="1" x14ac:dyDescent="0.4">
      <c r="A64" s="121" t="s">
        <v>69</v>
      </c>
      <c r="B64" s="122">
        <v>1</v>
      </c>
      <c r="C64" s="179">
        <v>6</v>
      </c>
      <c r="D64" s="276">
        <v>35429339</v>
      </c>
      <c r="E64" s="180">
        <f t="shared" si="0"/>
        <v>19.28060633493428</v>
      </c>
      <c r="F64" s="181">
        <f t="shared" si="1"/>
        <v>99.830744423713497</v>
      </c>
      <c r="G64" s="182">
        <f t="shared" si="2"/>
        <v>96.403031674671396</v>
      </c>
    </row>
    <row r="65" spans="1:7" ht="26.25" customHeight="1" x14ac:dyDescent="0.4">
      <c r="A65" s="121" t="s">
        <v>71</v>
      </c>
      <c r="B65" s="122">
        <v>1</v>
      </c>
      <c r="C65" s="179">
        <v>7</v>
      </c>
      <c r="D65" s="276">
        <v>35474703</v>
      </c>
      <c r="E65" s="180">
        <f t="shared" si="0"/>
        <v>19.305293372583442</v>
      </c>
      <c r="F65" s="181">
        <f t="shared" si="1"/>
        <v>99.958568481905417</v>
      </c>
      <c r="G65" s="182">
        <f t="shared" si="2"/>
        <v>96.526466862917218</v>
      </c>
    </row>
    <row r="66" spans="1:7" ht="26.25" customHeight="1" x14ac:dyDescent="0.4">
      <c r="A66" s="121" t="s">
        <v>73</v>
      </c>
      <c r="B66" s="122">
        <v>1</v>
      </c>
      <c r="C66" s="179">
        <v>8</v>
      </c>
      <c r="D66" s="276">
        <v>35525489</v>
      </c>
      <c r="E66" s="180">
        <f t="shared" si="0"/>
        <v>19.332931056518955</v>
      </c>
      <c r="F66" s="181">
        <f t="shared" si="1"/>
        <v>100.101670338429</v>
      </c>
      <c r="G66" s="182">
        <f t="shared" si="2"/>
        <v>96.664655282594779</v>
      </c>
    </row>
    <row r="67" spans="1:7" ht="27" customHeight="1" x14ac:dyDescent="0.4">
      <c r="A67" s="121" t="s">
        <v>75</v>
      </c>
      <c r="B67" s="149">
        <f>(B66/B65)*(B64/B63)*(B62/B61)*(B60/B59)*B58</f>
        <v>100</v>
      </c>
      <c r="C67" s="179">
        <v>9</v>
      </c>
      <c r="D67" s="276">
        <v>35537436</v>
      </c>
      <c r="E67" s="180">
        <f t="shared" si="0"/>
        <v>19.339432600447939</v>
      </c>
      <c r="F67" s="181">
        <f t="shared" si="1"/>
        <v>100.13533390476394</v>
      </c>
      <c r="G67" s="182">
        <f t="shared" si="2"/>
        <v>96.697163002239691</v>
      </c>
    </row>
    <row r="68" spans="1:7" ht="27" customHeight="1" x14ac:dyDescent="0.4">
      <c r="A68" s="507" t="s">
        <v>77</v>
      </c>
      <c r="B68" s="515"/>
      <c r="C68" s="183">
        <v>10</v>
      </c>
      <c r="D68" s="277">
        <v>35380559</v>
      </c>
      <c r="E68" s="184">
        <f t="shared" si="0"/>
        <v>19.254060313936879</v>
      </c>
      <c r="F68" s="185">
        <f t="shared" si="1"/>
        <v>99.693294958088742</v>
      </c>
      <c r="G68" s="186">
        <f t="shared" si="2"/>
        <v>96.270301569684392</v>
      </c>
    </row>
    <row r="69" spans="1:7" ht="19.5" customHeight="1" x14ac:dyDescent="0.3">
      <c r="A69" s="509"/>
      <c r="B69" s="516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94</v>
      </c>
      <c r="D70" s="190"/>
      <c r="E70" s="191">
        <f>AVERAGE(E59:E68)</f>
        <v>19.313295163963961</v>
      </c>
      <c r="F70" s="191">
        <f>AVERAGE(F59:F68)</f>
        <v>100</v>
      </c>
      <c r="G70" s="192">
        <f>AVERAGE(G59:G68)</f>
        <v>96.566475819819814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3.1190612442052851E-3</v>
      </c>
      <c r="F71" s="193">
        <f>STDEV(F59:F68)/F70</f>
        <v>3.1190612442052877E-3</v>
      </c>
      <c r="G71" s="194">
        <f>STDEV(G59:G68)/G70</f>
        <v>3.119061244205273E-3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95</v>
      </c>
      <c r="B74" s="201" t="s">
        <v>96</v>
      </c>
      <c r="C74" s="514" t="str">
        <f>B20</f>
        <v>Torsemide USP</v>
      </c>
      <c r="D74" s="514"/>
      <c r="E74" s="202" t="s">
        <v>97</v>
      </c>
      <c r="F74" s="202"/>
      <c r="G74" s="203">
        <f>G70</f>
        <v>96.566475819819814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98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517" t="s">
        <v>99</v>
      </c>
      <c r="C78" s="518"/>
      <c r="D78" s="98"/>
      <c r="E78" s="169"/>
      <c r="F78" s="169"/>
      <c r="G78" s="169"/>
    </row>
    <row r="79" spans="1:7" ht="18.75" customHeight="1" x14ac:dyDescent="0.3">
      <c r="A79" s="169"/>
      <c r="B79" s="207" t="s">
        <v>43</v>
      </c>
      <c r="C79" s="208">
        <f>G70</f>
        <v>96.566475819819814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100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101</v>
      </c>
      <c r="C81" s="208">
        <f>STDEV(G59:G68)</f>
        <v>0.3011967522190856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102</v>
      </c>
      <c r="C82" s="208">
        <f>IF(OR(G70&lt;98.5,G70&gt;101.5),(IF(98.5&gt;G70,98.5,101.5)),C79)</f>
        <v>98.5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103</v>
      </c>
      <c r="C83" s="210">
        <f>ABS(C82-C79)+(C80*C81)</f>
        <v>2.6563963855059911</v>
      </c>
      <c r="D83" s="98"/>
      <c r="E83" s="169"/>
      <c r="F83" s="169"/>
      <c r="G83" s="169"/>
    </row>
    <row r="84" spans="1:7" ht="18.75" customHeight="1" x14ac:dyDescent="0.3">
      <c r="A84" s="166"/>
      <c r="B84" s="211"/>
      <c r="C84" s="98"/>
      <c r="D84" s="98"/>
      <c r="E84" s="98"/>
      <c r="F84" s="98"/>
      <c r="G84" s="98"/>
    </row>
    <row r="85" spans="1:7" ht="18.75" customHeight="1" x14ac:dyDescent="0.3">
      <c r="A85" s="107" t="s">
        <v>104</v>
      </c>
      <c r="B85" s="107" t="s">
        <v>105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499" t="s">
        <v>124</v>
      </c>
      <c r="C87" s="499"/>
      <c r="D87" s="98"/>
      <c r="E87" s="98"/>
      <c r="F87" s="98"/>
      <c r="G87" s="98"/>
    </row>
    <row r="88" spans="1:7" ht="26.25" customHeight="1" x14ac:dyDescent="0.4">
      <c r="A88" s="109" t="s">
        <v>48</v>
      </c>
      <c r="B88" s="500" t="s">
        <v>125</v>
      </c>
      <c r="C88" s="500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v>99.4</v>
      </c>
      <c r="C89" s="98"/>
      <c r="D89" s="98"/>
      <c r="E89" s="98"/>
      <c r="F89" s="98"/>
      <c r="G89" s="98"/>
    </row>
    <row r="90" spans="1:7" ht="27" customHeight="1" x14ac:dyDescent="0.4">
      <c r="A90" s="109" t="s">
        <v>49</v>
      </c>
      <c r="B90" s="110">
        <f>B33</f>
        <v>0</v>
      </c>
      <c r="C90" s="519" t="s">
        <v>106</v>
      </c>
      <c r="D90" s="520"/>
      <c r="E90" s="520"/>
      <c r="F90" s="520"/>
      <c r="G90" s="521"/>
    </row>
    <row r="91" spans="1:7" ht="18.75" customHeight="1" x14ac:dyDescent="0.3">
      <c r="A91" s="109" t="s">
        <v>51</v>
      </c>
      <c r="B91" s="113">
        <f>B89-B90</f>
        <v>99.4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52</v>
      </c>
      <c r="B93" s="115">
        <v>1</v>
      </c>
      <c r="C93" s="501" t="s">
        <v>107</v>
      </c>
      <c r="D93" s="502"/>
      <c r="E93" s="502"/>
      <c r="F93" s="502"/>
      <c r="G93" s="502"/>
    </row>
    <row r="94" spans="1:7" ht="27" customHeight="1" x14ac:dyDescent="0.4">
      <c r="A94" s="109" t="s">
        <v>54</v>
      </c>
      <c r="B94" s="115">
        <v>1</v>
      </c>
      <c r="C94" s="501" t="s">
        <v>108</v>
      </c>
      <c r="D94" s="502"/>
      <c r="E94" s="502"/>
      <c r="F94" s="502"/>
      <c r="G94" s="502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56</v>
      </c>
      <c r="B96" s="118">
        <f>B93/B94</f>
        <v>1</v>
      </c>
      <c r="C96" s="98" t="s">
        <v>57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58</v>
      </c>
      <c r="B98" s="214">
        <v>50</v>
      </c>
      <c r="C98" s="98"/>
      <c r="D98" s="215" t="s">
        <v>59</v>
      </c>
      <c r="E98" s="216"/>
      <c r="F98" s="504" t="s">
        <v>60</v>
      </c>
      <c r="G98" s="506"/>
    </row>
    <row r="99" spans="1:7" ht="26.25" customHeight="1" x14ac:dyDescent="0.4">
      <c r="A99" s="121" t="s">
        <v>61</v>
      </c>
      <c r="B99" s="217">
        <v>3</v>
      </c>
      <c r="C99" s="123" t="s">
        <v>62</v>
      </c>
      <c r="D99" s="124" t="s">
        <v>63</v>
      </c>
      <c r="E99" s="125" t="s">
        <v>64</v>
      </c>
      <c r="F99" s="124" t="s">
        <v>63</v>
      </c>
      <c r="G99" s="126" t="s">
        <v>64</v>
      </c>
    </row>
    <row r="100" spans="1:7" ht="26.25" customHeight="1" x14ac:dyDescent="0.4">
      <c r="A100" s="121" t="s">
        <v>65</v>
      </c>
      <c r="B100" s="217">
        <v>50</v>
      </c>
      <c r="C100" s="127">
        <v>1</v>
      </c>
      <c r="D100" s="128">
        <v>3994768</v>
      </c>
      <c r="E100" s="218">
        <f>IF(ISBLANK(D100),"-",$D$110/$D$107*D100)</f>
        <v>4078012.4685198963</v>
      </c>
      <c r="F100" s="219">
        <v>4416307</v>
      </c>
      <c r="G100" s="130">
        <f>IF(ISBLANK(F100),"-",$D$110/$F$107*F100)</f>
        <v>4107694.7437477061</v>
      </c>
    </row>
    <row r="101" spans="1:7" ht="26.25" customHeight="1" x14ac:dyDescent="0.4">
      <c r="A101" s="121" t="s">
        <v>66</v>
      </c>
      <c r="B101" s="217">
        <v>1</v>
      </c>
      <c r="C101" s="131">
        <v>2</v>
      </c>
      <c r="D101" s="132">
        <v>3999949</v>
      </c>
      <c r="E101" s="220">
        <f>IF(ISBLANK(D101),"-",$D$110/$D$107*D101)</f>
        <v>4083301.4321341543</v>
      </c>
      <c r="F101" s="110">
        <v>4399016</v>
      </c>
      <c r="G101" s="134">
        <f>IF(ISBLANK(F101),"-",$D$110/$F$107*F101)</f>
        <v>4091612.041658802</v>
      </c>
    </row>
    <row r="102" spans="1:7" ht="26.25" customHeight="1" x14ac:dyDescent="0.4">
      <c r="A102" s="121" t="s">
        <v>67</v>
      </c>
      <c r="B102" s="217">
        <v>1</v>
      </c>
      <c r="C102" s="131">
        <v>3</v>
      </c>
      <c r="D102" s="132">
        <v>3974670</v>
      </c>
      <c r="E102" s="220">
        <f>IF(ISBLANK(D102),"-",$D$110/$D$107*D102)</f>
        <v>4057495.6588848154</v>
      </c>
      <c r="F102" s="280">
        <v>4406655</v>
      </c>
      <c r="G102" s="134">
        <f>IF(ISBLANK(F102),"-",$D$110/$F$107*F102)</f>
        <v>4098717.2270880509</v>
      </c>
    </row>
    <row r="103" spans="1:7" ht="26.25" customHeight="1" x14ac:dyDescent="0.4">
      <c r="A103" s="121" t="s">
        <v>68</v>
      </c>
      <c r="B103" s="217">
        <v>1</v>
      </c>
      <c r="C103" s="135">
        <v>4</v>
      </c>
      <c r="D103" s="136"/>
      <c r="E103" s="221" t="str">
        <f>IF(ISBLANK(D103),"-",$D$110/$D$107*D103)</f>
        <v>-</v>
      </c>
      <c r="F103" s="222"/>
      <c r="G103" s="138" t="str">
        <f>IF(ISBLANK(F103),"-",$D$110/$F$107*F103)</f>
        <v>-</v>
      </c>
    </row>
    <row r="104" spans="1:7" ht="27" customHeight="1" x14ac:dyDescent="0.4">
      <c r="A104" s="121" t="s">
        <v>69</v>
      </c>
      <c r="B104" s="217">
        <v>1</v>
      </c>
      <c r="C104" s="139" t="s">
        <v>70</v>
      </c>
      <c r="D104" s="223">
        <f>AVERAGE(D100:D103)</f>
        <v>3989795.6666666665</v>
      </c>
      <c r="E104" s="141">
        <f>AVERAGE(E100:E103)</f>
        <v>4072936.5198462885</v>
      </c>
      <c r="F104" s="223">
        <f>AVERAGE(F100:F103)</f>
        <v>4407326</v>
      </c>
      <c r="G104" s="224">
        <f>AVERAGE(G100:G103)</f>
        <v>4099341.3374981862</v>
      </c>
    </row>
    <row r="105" spans="1:7" ht="26.25" customHeight="1" x14ac:dyDescent="0.4">
      <c r="A105" s="121" t="s">
        <v>71</v>
      </c>
      <c r="B105" s="217">
        <v>1</v>
      </c>
      <c r="C105" s="143" t="s">
        <v>72</v>
      </c>
      <c r="D105" s="225">
        <v>18.25</v>
      </c>
      <c r="E105" s="145"/>
      <c r="F105" s="144">
        <v>20.03</v>
      </c>
      <c r="G105" s="98"/>
    </row>
    <row r="106" spans="1:7" ht="26.25" customHeight="1" x14ac:dyDescent="0.4">
      <c r="A106" s="121" t="s">
        <v>73</v>
      </c>
      <c r="B106" s="217">
        <v>1</v>
      </c>
      <c r="C106" s="146" t="s">
        <v>74</v>
      </c>
      <c r="D106" s="226">
        <f>D105*$B$96</f>
        <v>18.25</v>
      </c>
      <c r="E106" s="148"/>
      <c r="F106" s="147">
        <f>F105*$B$96</f>
        <v>20.03</v>
      </c>
      <c r="G106" s="98"/>
    </row>
    <row r="107" spans="1:7" ht="19.5" customHeight="1" x14ac:dyDescent="0.3">
      <c r="A107" s="121" t="s">
        <v>75</v>
      </c>
      <c r="B107" s="256">
        <f>(B106/B105)*(B104/B103)*(B102/B101)*(B100/B99)*B98</f>
        <v>833.33333333333337</v>
      </c>
      <c r="C107" s="146" t="s">
        <v>76</v>
      </c>
      <c r="D107" s="227">
        <f>D106*$B$91/100</f>
        <v>18.140500000000003</v>
      </c>
      <c r="E107" s="151"/>
      <c r="F107" s="150">
        <f>F106*$B$91/100</f>
        <v>19.909820000000003</v>
      </c>
      <c r="G107" s="98"/>
    </row>
    <row r="108" spans="1:7" ht="19.5" customHeight="1" x14ac:dyDescent="0.3">
      <c r="A108" s="507" t="s">
        <v>77</v>
      </c>
      <c r="B108" s="508"/>
      <c r="C108" s="146" t="s">
        <v>78</v>
      </c>
      <c r="D108" s="226">
        <f>D107/$B$107</f>
        <v>2.1768600000000003E-2</v>
      </c>
      <c r="E108" s="151"/>
      <c r="F108" s="152">
        <f>F107/$B$107</f>
        <v>2.3891784000000003E-2</v>
      </c>
      <c r="G108" s="228"/>
    </row>
    <row r="109" spans="1:7" ht="19.5" customHeight="1" x14ac:dyDescent="0.3">
      <c r="A109" s="509"/>
      <c r="B109" s="510"/>
      <c r="C109" s="274" t="s">
        <v>79</v>
      </c>
      <c r="D109" s="230">
        <f>$B$56/$B$125</f>
        <v>2.2222222222222223E-2</v>
      </c>
      <c r="E109" s="98"/>
      <c r="F109" s="155"/>
      <c r="G109" s="231"/>
    </row>
    <row r="110" spans="1:7" ht="18.75" customHeight="1" x14ac:dyDescent="0.3">
      <c r="A110" s="98"/>
      <c r="B110" s="98"/>
      <c r="C110" s="229" t="s">
        <v>80</v>
      </c>
      <c r="D110" s="226">
        <f>D109*$B$107</f>
        <v>18.518518518518519</v>
      </c>
      <c r="E110" s="98"/>
      <c r="F110" s="155"/>
      <c r="G110" s="228"/>
    </row>
    <row r="111" spans="1:7" ht="19.5" customHeight="1" x14ac:dyDescent="0.3">
      <c r="A111" s="98"/>
      <c r="B111" s="98"/>
      <c r="C111" s="232" t="s">
        <v>81</v>
      </c>
      <c r="D111" s="233">
        <f>D110/B96</f>
        <v>18.518518518518519</v>
      </c>
      <c r="E111" s="98"/>
      <c r="F111" s="160"/>
      <c r="G111" s="228"/>
    </row>
    <row r="112" spans="1:7" ht="18.75" customHeight="1" x14ac:dyDescent="0.3">
      <c r="A112" s="98"/>
      <c r="B112" s="98"/>
      <c r="C112" s="234" t="s">
        <v>82</v>
      </c>
      <c r="D112" s="235">
        <f>AVERAGE(E100:E103,G100:G103)</f>
        <v>4086138.9286722369</v>
      </c>
      <c r="E112" s="98"/>
      <c r="F112" s="160"/>
      <c r="G112" s="236"/>
    </row>
    <row r="113" spans="1:7" ht="18.75" customHeight="1" x14ac:dyDescent="0.3">
      <c r="A113" s="98"/>
      <c r="B113" s="98"/>
      <c r="C113" s="237" t="s">
        <v>83</v>
      </c>
      <c r="D113" s="238">
        <f>STDEV(E100:E103,G100:G103)/D112</f>
        <v>4.305227045837294E-3</v>
      </c>
      <c r="E113" s="98"/>
      <c r="F113" s="160"/>
      <c r="G113" s="228"/>
    </row>
    <row r="114" spans="1:7" ht="19.5" customHeight="1" x14ac:dyDescent="0.3">
      <c r="A114" s="98"/>
      <c r="B114" s="98"/>
      <c r="C114" s="239" t="s">
        <v>20</v>
      </c>
      <c r="D114" s="240">
        <f>COUNT(E100:E103,G100:G103)</f>
        <v>6</v>
      </c>
      <c r="E114" s="98"/>
      <c r="F114" s="160"/>
      <c r="G114" s="228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109</v>
      </c>
      <c r="B116" s="214">
        <v>900</v>
      </c>
      <c r="C116" s="241" t="s">
        <v>110</v>
      </c>
      <c r="D116" s="242" t="s">
        <v>63</v>
      </c>
      <c r="E116" s="243" t="s">
        <v>111</v>
      </c>
      <c r="F116" s="244" t="s">
        <v>112</v>
      </c>
      <c r="G116" s="98"/>
    </row>
    <row r="117" spans="1:7" ht="26.25" customHeight="1" x14ac:dyDescent="0.4">
      <c r="A117" s="121" t="s">
        <v>113</v>
      </c>
      <c r="B117" s="217">
        <v>1</v>
      </c>
      <c r="C117" s="179">
        <v>1</v>
      </c>
      <c r="D117" s="278">
        <v>4191070</v>
      </c>
      <c r="E117" s="245">
        <f t="shared" ref="E117:E122" si="3">IF(ISBLANK(D117),"-",D117/$D$112*$D$109*$B$125)</f>
        <v>20.51359522110943</v>
      </c>
      <c r="F117" s="246">
        <f t="shared" ref="F117:F122" si="4">IF(ISBLANK(D117), "-", E117/$B$56)</f>
        <v>1.0256797610554715</v>
      </c>
      <c r="G117" s="98"/>
    </row>
    <row r="118" spans="1:7" ht="26.25" customHeight="1" x14ac:dyDescent="0.4">
      <c r="A118" s="121" t="s">
        <v>114</v>
      </c>
      <c r="B118" s="217">
        <v>1</v>
      </c>
      <c r="C118" s="179">
        <v>2</v>
      </c>
      <c r="D118" s="278">
        <v>4196597</v>
      </c>
      <c r="E118" s="247">
        <f t="shared" si="3"/>
        <v>20.540647654208154</v>
      </c>
      <c r="F118" s="248">
        <f t="shared" si="4"/>
        <v>1.0270323827104078</v>
      </c>
      <c r="G118" s="98"/>
    </row>
    <row r="119" spans="1:7" ht="26.25" customHeight="1" x14ac:dyDescent="0.4">
      <c r="A119" s="121" t="s">
        <v>115</v>
      </c>
      <c r="B119" s="217">
        <v>1</v>
      </c>
      <c r="C119" s="179">
        <v>3</v>
      </c>
      <c r="D119" s="278">
        <v>4190513</v>
      </c>
      <c r="E119" s="247">
        <f t="shared" si="3"/>
        <v>20.510868931035976</v>
      </c>
      <c r="F119" s="248">
        <f t="shared" si="4"/>
        <v>1.0255434465517987</v>
      </c>
      <c r="G119" s="98"/>
    </row>
    <row r="120" spans="1:7" ht="26.25" customHeight="1" x14ac:dyDescent="0.4">
      <c r="A120" s="121" t="s">
        <v>116</v>
      </c>
      <c r="B120" s="217">
        <v>1</v>
      </c>
      <c r="C120" s="179">
        <v>4</v>
      </c>
      <c r="D120" s="278">
        <v>4186515</v>
      </c>
      <c r="E120" s="247">
        <f t="shared" si="3"/>
        <v>20.491300335499751</v>
      </c>
      <c r="F120" s="248">
        <f t="shared" si="4"/>
        <v>1.0245650167749876</v>
      </c>
      <c r="G120" s="98"/>
    </row>
    <row r="121" spans="1:7" ht="26.25" customHeight="1" x14ac:dyDescent="0.4">
      <c r="A121" s="121" t="s">
        <v>117</v>
      </c>
      <c r="B121" s="217">
        <v>1</v>
      </c>
      <c r="C121" s="179">
        <v>5</v>
      </c>
      <c r="D121" s="278">
        <v>4177670</v>
      </c>
      <c r="E121" s="247">
        <f t="shared" si="3"/>
        <v>20.448007632268666</v>
      </c>
      <c r="F121" s="248">
        <f t="shared" si="4"/>
        <v>1.0224003816134333</v>
      </c>
      <c r="G121" s="98"/>
    </row>
    <row r="122" spans="1:7" ht="26.25" customHeight="1" x14ac:dyDescent="0.4">
      <c r="A122" s="121" t="s">
        <v>118</v>
      </c>
      <c r="B122" s="217">
        <v>1</v>
      </c>
      <c r="C122" s="249">
        <v>6</v>
      </c>
      <c r="D122" s="279">
        <v>4184816</v>
      </c>
      <c r="E122" s="250">
        <f t="shared" si="3"/>
        <v>20.482984416586284</v>
      </c>
      <c r="F122" s="251">
        <f t="shared" si="4"/>
        <v>1.0241492208293141</v>
      </c>
      <c r="G122" s="98"/>
    </row>
    <row r="123" spans="1:7" ht="26.25" customHeight="1" x14ac:dyDescent="0.4">
      <c r="A123" s="121" t="s">
        <v>119</v>
      </c>
      <c r="B123" s="217">
        <v>1</v>
      </c>
      <c r="C123" s="179"/>
      <c r="D123" s="252"/>
      <c r="E123" s="199"/>
      <c r="F123" s="182"/>
      <c r="G123" s="98"/>
    </row>
    <row r="124" spans="1:7" ht="26.25" customHeight="1" x14ac:dyDescent="0.4">
      <c r="A124" s="121" t="s">
        <v>120</v>
      </c>
      <c r="B124" s="217">
        <v>1</v>
      </c>
      <c r="C124" s="179"/>
      <c r="D124" s="253"/>
      <c r="E124" s="254" t="s">
        <v>70</v>
      </c>
      <c r="F124" s="255">
        <f>AVERAGE(F117:F122)</f>
        <v>1.0248950349225689</v>
      </c>
      <c r="G124" s="98"/>
    </row>
    <row r="125" spans="1:7" ht="27" customHeight="1" x14ac:dyDescent="0.4">
      <c r="A125" s="121" t="s">
        <v>121</v>
      </c>
      <c r="B125" s="256">
        <f>(B124/B123)*(B122/B121)*(B120/B119)*(B118/B117)*B116</f>
        <v>900</v>
      </c>
      <c r="C125" s="257"/>
      <c r="D125" s="258"/>
      <c r="E125" s="157" t="s">
        <v>83</v>
      </c>
      <c r="F125" s="194">
        <f>STDEV(F117:F122)/F124</f>
        <v>1.5422963574030766E-3</v>
      </c>
      <c r="G125" s="98"/>
    </row>
    <row r="126" spans="1:7" ht="27" customHeight="1" x14ac:dyDescent="0.4">
      <c r="A126" s="507" t="s">
        <v>77</v>
      </c>
      <c r="B126" s="508"/>
      <c r="C126" s="259"/>
      <c r="D126" s="260"/>
      <c r="E126" s="261" t="s">
        <v>20</v>
      </c>
      <c r="F126" s="262">
        <f>COUNT(F117:F122)</f>
        <v>6</v>
      </c>
      <c r="G126" s="98"/>
    </row>
    <row r="127" spans="1:7" ht="19.5" customHeight="1" x14ac:dyDescent="0.3">
      <c r="A127" s="509"/>
      <c r="B127" s="510"/>
      <c r="C127" s="199"/>
      <c r="D127" s="199"/>
      <c r="E127" s="199"/>
      <c r="F127" s="252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2"/>
      <c r="G128" s="199"/>
    </row>
    <row r="129" spans="1:7" ht="18.75" customHeight="1" x14ac:dyDescent="0.3">
      <c r="A129" s="108" t="s">
        <v>95</v>
      </c>
      <c r="B129" s="201" t="s">
        <v>122</v>
      </c>
      <c r="C129" s="514" t="str">
        <f>B20</f>
        <v>Torsemide USP</v>
      </c>
      <c r="D129" s="514"/>
      <c r="E129" s="202" t="s">
        <v>123</v>
      </c>
      <c r="F129" s="202"/>
      <c r="G129" s="205">
        <f>F124</f>
        <v>1.0248950349225689</v>
      </c>
    </row>
    <row r="130" spans="1:7" ht="19.5" customHeight="1" x14ac:dyDescent="0.3">
      <c r="A130" s="263"/>
      <c r="B130" s="263"/>
      <c r="C130" s="264"/>
      <c r="D130" s="264"/>
      <c r="E130" s="264"/>
      <c r="F130" s="264"/>
      <c r="G130" s="264"/>
    </row>
    <row r="131" spans="1:7" ht="18.75" customHeight="1" x14ac:dyDescent="0.3">
      <c r="A131" s="98"/>
      <c r="B131" s="513" t="s">
        <v>26</v>
      </c>
      <c r="C131" s="513"/>
      <c r="D131" s="98"/>
      <c r="E131" s="265" t="s">
        <v>27</v>
      </c>
      <c r="F131" s="266"/>
      <c r="G131" s="273" t="s">
        <v>28</v>
      </c>
    </row>
    <row r="132" spans="1:7" ht="60" customHeight="1" x14ac:dyDescent="0.3">
      <c r="A132" s="267" t="s">
        <v>29</v>
      </c>
      <c r="B132" s="268"/>
      <c r="C132" s="268"/>
      <c r="D132" s="98"/>
      <c r="E132" s="268"/>
      <c r="F132" s="199"/>
      <c r="G132" s="269"/>
    </row>
    <row r="133" spans="1:7" ht="60" customHeight="1" x14ac:dyDescent="0.3">
      <c r="A133" s="267" t="s">
        <v>30</v>
      </c>
      <c r="B133" s="270"/>
      <c r="C133" s="270"/>
      <c r="D133" s="98"/>
      <c r="E133" s="270"/>
      <c r="F133" s="199"/>
      <c r="G133" s="271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Torsemide 1</vt:lpstr>
      <vt:lpstr>SST</vt:lpstr>
      <vt:lpstr>Uniformity</vt:lpstr>
      <vt:lpstr>Torsemide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user3</cp:lastModifiedBy>
  <cp:lastPrinted>2017-05-30T10:02:43Z</cp:lastPrinted>
  <dcterms:created xsi:type="dcterms:W3CDTF">2005-07-05T10:19:27Z</dcterms:created>
  <dcterms:modified xsi:type="dcterms:W3CDTF">2017-08-11T15:39:08Z</dcterms:modified>
</cp:coreProperties>
</file>