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20" yWindow="840" windowWidth="20535" windowHeight="8355" activeTab="2"/>
  </bookViews>
  <sheets>
    <sheet name="SST" sheetId="1" r:id="rId1"/>
    <sheet name="Uniformity" sheetId="2" r:id="rId2"/>
    <sheet name="Chloramphenicol" sheetId="6" r:id="rId3"/>
  </sheets>
  <definedNames>
    <definedName name="_xlnm.Print_Area" localSheetId="2">Chloramphenicol!$A$1:$H$125</definedName>
    <definedName name="_xlnm.Print_Area" localSheetId="0">SST!$A$1:$G$28</definedName>
    <definedName name="_xlnm.Print_Area" localSheetId="1">Uniformity!$A$1:$G$52</definedName>
  </definedNames>
  <calcPr calcId="144525"/>
</workbook>
</file>

<file path=xl/calcChain.xml><?xml version="1.0" encoding="utf-8"?>
<calcChain xmlns="http://schemas.openxmlformats.org/spreadsheetml/2006/main">
  <c r="E16" i="1" l="1"/>
  <c r="B7" i="1"/>
  <c r="C120" i="6"/>
  <c r="B116" i="6"/>
  <c r="D100" i="6" s="1"/>
  <c r="B98" i="6"/>
  <c r="F95" i="6"/>
  <c r="D95" i="6"/>
  <c r="B87" i="6"/>
  <c r="F97" i="6" s="1"/>
  <c r="B81" i="6"/>
  <c r="B83" i="6" s="1"/>
  <c r="B80" i="6"/>
  <c r="B79" i="6"/>
  <c r="C76" i="6"/>
  <c r="B68" i="6"/>
  <c r="C56" i="6"/>
  <c r="B55" i="6"/>
  <c r="B45" i="6"/>
  <c r="D48" i="6" s="1"/>
  <c r="F42" i="6"/>
  <c r="D42" i="6"/>
  <c r="B34" i="6"/>
  <c r="B30" i="6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18" i="1"/>
  <c r="D16" i="1"/>
  <c r="C16" i="1"/>
  <c r="B16" i="1"/>
  <c r="B17" i="1" s="1"/>
  <c r="D42" i="2" l="1"/>
  <c r="I92" i="6"/>
  <c r="D101" i="6"/>
  <c r="D102" i="6" s="1"/>
  <c r="D97" i="6"/>
  <c r="D43" i="2"/>
  <c r="I39" i="6"/>
  <c r="D49" i="6"/>
  <c r="F44" i="6"/>
  <c r="F45" i="6" s="1"/>
  <c r="D44" i="6"/>
  <c r="D45" i="6" s="1"/>
  <c r="D98" i="6"/>
  <c r="F98" i="6"/>
  <c r="D48" i="2" l="1"/>
  <c r="B47" i="2"/>
  <c r="B57" i="6"/>
  <c r="B69" i="6" s="1"/>
  <c r="C47" i="2"/>
  <c r="E40" i="2"/>
  <c r="E38" i="2"/>
  <c r="E36" i="2"/>
  <c r="E34" i="2"/>
  <c r="E32" i="2"/>
  <c r="E30" i="2"/>
  <c r="E28" i="2"/>
  <c r="E26" i="2"/>
  <c r="E24" i="2"/>
  <c r="E22" i="2"/>
  <c r="D47" i="2"/>
  <c r="C48" i="2"/>
  <c r="E39" i="2"/>
  <c r="E37" i="2"/>
  <c r="E35" i="2"/>
  <c r="E33" i="2"/>
  <c r="E31" i="2"/>
  <c r="E29" i="2"/>
  <c r="E27" i="2"/>
  <c r="E25" i="2"/>
  <c r="E23" i="2"/>
  <c r="E21" i="2"/>
  <c r="D46" i="6"/>
  <c r="E39" i="6"/>
  <c r="E41" i="6"/>
  <c r="E38" i="6"/>
  <c r="E40" i="6"/>
  <c r="F99" i="6"/>
  <c r="G92" i="6"/>
  <c r="G94" i="6"/>
  <c r="G91" i="6"/>
  <c r="G93" i="6"/>
  <c r="G40" i="6"/>
  <c r="G41" i="6"/>
  <c r="G38" i="6"/>
  <c r="F46" i="6"/>
  <c r="G39" i="6"/>
  <c r="E94" i="6"/>
  <c r="E91" i="6"/>
  <c r="E93" i="6"/>
  <c r="D99" i="6"/>
  <c r="E92" i="6"/>
  <c r="E42" i="6" l="1"/>
  <c r="D103" i="6"/>
  <c r="D105" i="6"/>
  <c r="E95" i="6"/>
  <c r="G42" i="6"/>
  <c r="G95" i="6"/>
  <c r="D52" i="6"/>
  <c r="D50" i="6"/>
  <c r="D51" i="6" l="1"/>
  <c r="G68" i="6"/>
  <c r="H68" i="6" s="1"/>
  <c r="G66" i="6"/>
  <c r="H66" i="6" s="1"/>
  <c r="G63" i="6"/>
  <c r="H63" i="6" s="1"/>
  <c r="G64" i="6"/>
  <c r="H64" i="6" s="1"/>
  <c r="G70" i="6"/>
  <c r="H70" i="6" s="1"/>
  <c r="G62" i="6"/>
  <c r="H62" i="6" s="1"/>
  <c r="G71" i="6"/>
  <c r="H71" i="6" s="1"/>
  <c r="G67" i="6"/>
  <c r="H67" i="6" s="1"/>
  <c r="G60" i="6"/>
  <c r="G69" i="6"/>
  <c r="H69" i="6" s="1"/>
  <c r="G65" i="6"/>
  <c r="H65" i="6" s="1"/>
  <c r="G61" i="6"/>
  <c r="H61" i="6" s="1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E117" i="6" l="1"/>
  <c r="F108" i="6"/>
  <c r="E115" i="6"/>
  <c r="E116" i="6" s="1"/>
  <c r="H60" i="6"/>
  <c r="G72" i="6"/>
  <c r="G73" i="6" s="1"/>
  <c r="G74" i="6"/>
  <c r="F115" i="6" l="1"/>
  <c r="F117" i="6"/>
  <c r="H74" i="6"/>
  <c r="H72" i="6"/>
  <c r="G76" i="6" s="1"/>
  <c r="H73" i="6" l="1"/>
  <c r="G120" i="6"/>
  <c r="F116" i="6"/>
</calcChain>
</file>

<file path=xl/sharedStrings.xml><?xml version="1.0" encoding="utf-8"?>
<sst xmlns="http://schemas.openxmlformats.org/spreadsheetml/2006/main" count="216" uniqueCount="130">
  <si>
    <t>HPLC System Suitability Report</t>
  </si>
  <si>
    <t>Analysis Data</t>
  </si>
  <si>
    <t>Assay</t>
  </si>
  <si>
    <t>Sample(s)</t>
  </si>
  <si>
    <t>Reference Substance:</t>
  </si>
  <si>
    <t>CHLORAMPHENICOL CAPSULES B.P 250 MG</t>
  </si>
  <si>
    <t>% age Purity:</t>
  </si>
  <si>
    <t>NDQD2016061178</t>
  </si>
  <si>
    <t>Weight (mg):</t>
  </si>
  <si>
    <t>Each capsules contains Chloramphenicol B.P 250 mg</t>
  </si>
  <si>
    <t>Standard Conc (mg/mL):</t>
  </si>
  <si>
    <t>2016-06-27 10:50:16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</si>
  <si>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</si>
  <si>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</si>
  <si>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</si>
  <si>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</si>
  <si>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</si>
  <si>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</si>
  <si>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</si>
  <si>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</si>
  <si>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</si>
  <si>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</si>
  <si>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</si>
  <si>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</si>
  <si>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</si>
  <si>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</si>
  <si>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</si>
  <si>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</si>
  <si>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</si>
  <si>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</si>
  <si>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</si>
  <si>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</si>
  <si>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</si>
  <si>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</si>
  <si>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</si>
  <si>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</si>
  <si>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2016-07-08 13:54:16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</si>
  <si>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</si>
  <si>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</si>
  <si>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</si>
  <si>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</si>
  <si>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</si>
  <si>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</si>
  <si>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</si>
  <si>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</si>
  <si>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</si>
  <si>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</si>
  <si>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</si>
  <si>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</si>
  <si>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</si>
  <si>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</si>
  <si>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</si>
  <si>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</si>
  <si>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</si>
  <si>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</si>
  <si>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</si>
  <si>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</si>
  <si>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</si>
  <si>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</si>
  <si>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</si>
  <si>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</si>
  <si>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</si>
  <si>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</si>
  <si>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</si>
  <si>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</si>
  <si>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</si>
  <si>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</si>
  <si>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</si>
  <si>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</si>
  <si>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</si>
  <si>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</si>
  <si>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</si>
  <si>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</si>
  <si>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</si>
  <si>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</si>
  <si>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</si>
  <si>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</si>
  <si>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</si>
  <si>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</si>
  <si>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</si>
  <si>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</si>
  <si>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</si>
  <si>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</si>
  <si>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</si>
  <si>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</si>
  <si>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</si>
  <si>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</si>
  <si>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</si>
  <si>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</si>
  <si>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</si>
  <si>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</si>
  <si>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</si>
  <si>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</si>
  <si>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</si>
  <si>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</si>
  <si>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</si>
  <si>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</si>
  <si>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</si>
  <si>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</si>
  <si>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</si>
  <si>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</si>
  <si>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</si>
  <si>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</si>
  <si>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</si>
  <si>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</si>
  <si>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</si>
  <si>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</si>
  <si>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</si>
  <si>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</si>
  <si>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</si>
  <si>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</si>
  <si>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</si>
  <si>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</si>
  <si>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</si>
  <si>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</si>
  <si>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</si>
  <si>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</si>
  <si>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</si>
  <si>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</si>
  <si>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</si>
  <si>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</si>
  <si>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</si>
  <si>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</si>
  <si>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</si>
  <si>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</si>
  <si>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Chloramphenicol </t>
  </si>
  <si>
    <t>Chloramphenicol</t>
  </si>
  <si>
    <t>C83-1</t>
  </si>
  <si>
    <t>CHLORAMPHENICOL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</si>
  <si>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1800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</si>
</sst>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view="pageBreakPreview" zoomScale="80" zoomScaleSheetLayoutView="80" workbookViewId="0">
      <selection activeCell="C38" sqref="C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" spans="1:5" ht="18.75" customHeight="1" x14ac:dyDescent="0.3">
      <c r="A1" s="302" t="s">
        <v>0</v>
      </c>
      <c r="B1" s="302"/>
      <c r="C1" s="302"/>
      <c r="D1" s="302"/>
      <c r="E1" s="302"/>
    </row>
    <row r="2" spans="1:5" ht="16.5" customHeight="1" x14ac:dyDescent="0.3">
      <c r="A2" s="5" t="s">
        <v>1</v>
      </c>
      <c r="B2" s="6" t="s">
        <v>2</v>
      </c>
    </row>
    <row r="3" spans="1:5" ht="16.5" customHeight="1" x14ac:dyDescent="0.3">
      <c r="A3" s="7" t="s">
        <v>3</v>
      </c>
      <c r="B3" s="8" t="s">
        <v>5</v>
      </c>
      <c r="D3" s="9"/>
      <c r="E3" s="10"/>
    </row>
    <row r="4" spans="1:5" ht="16.5" customHeight="1" x14ac:dyDescent="0.3">
      <c r="A4" s="11" t="s">
        <v>4</v>
      </c>
      <c r="B4" s="8" t="s">
        <v>128</v>
      </c>
      <c r="C4" s="10"/>
      <c r="D4" s="10"/>
      <c r="E4" s="10"/>
    </row>
    <row r="5" spans="1:5" ht="16.5" customHeight="1" x14ac:dyDescent="0.3">
      <c r="A5" s="11" t="s">
        <v>6</v>
      </c>
      <c r="B5" s="12">
        <v>100</v>
      </c>
      <c r="C5" s="10"/>
      <c r="D5" s="10"/>
      <c r="E5" s="10"/>
    </row>
    <row r="6" spans="1:5" ht="16.5" customHeight="1" x14ac:dyDescent="0.3">
      <c r="A6" s="7" t="s">
        <v>8</v>
      </c>
      <c r="B6" s="12">
        <v>34.92</v>
      </c>
      <c r="C6" s="10"/>
      <c r="D6" s="10"/>
      <c r="E6" s="10"/>
    </row>
    <row r="7" spans="1:5" ht="16.5" customHeight="1" x14ac:dyDescent="0.3">
      <c r="A7" s="7" t="s">
        <v>10</v>
      </c>
      <c r="B7" s="13">
        <f>B6/50*5/25</f>
        <v>0.13968</v>
      </c>
      <c r="C7" s="10"/>
      <c r="D7" s="10"/>
      <c r="E7" s="10"/>
    </row>
    <row r="8" spans="1:5" ht="15.75" customHeight="1" x14ac:dyDescent="0.25">
      <c r="A8" s="10"/>
      <c r="B8" s="10"/>
      <c r="C8" s="10"/>
      <c r="D8" s="10"/>
      <c r="E8" s="10"/>
    </row>
    <row r="9" spans="1:5" ht="16.5" customHeight="1" x14ac:dyDescent="0.3">
      <c r="A9" s="14" t="s">
        <v>12</v>
      </c>
      <c r="B9" s="15" t="s">
        <v>13</v>
      </c>
      <c r="C9" s="14" t="s">
        <v>14</v>
      </c>
      <c r="D9" s="14" t="s">
        <v>15</v>
      </c>
      <c r="E9" s="16" t="s">
        <v>16</v>
      </c>
    </row>
    <row r="10" spans="1:5" ht="16.5" customHeight="1" x14ac:dyDescent="0.3">
      <c r="A10" s="17">
        <v>1</v>
      </c>
      <c r="B10" s="18">
        <v>90705548</v>
      </c>
      <c r="C10" s="18">
        <v>7648</v>
      </c>
      <c r="D10" s="19">
        <v>1.2</v>
      </c>
      <c r="E10" s="20">
        <v>3.7</v>
      </c>
    </row>
    <row r="11" spans="1:5" ht="16.5" customHeight="1" x14ac:dyDescent="0.3">
      <c r="A11" s="17">
        <v>2</v>
      </c>
      <c r="B11" s="18">
        <v>90418743</v>
      </c>
      <c r="C11" s="18">
        <v>7674.7</v>
      </c>
      <c r="D11" s="19">
        <v>1.2</v>
      </c>
      <c r="E11" s="19">
        <v>3.7</v>
      </c>
    </row>
    <row r="12" spans="1:5" ht="16.5" customHeight="1" x14ac:dyDescent="0.3">
      <c r="A12" s="17">
        <v>3</v>
      </c>
      <c r="B12" s="18">
        <v>90588552</v>
      </c>
      <c r="C12" s="18">
        <v>7653.6</v>
      </c>
      <c r="D12" s="19">
        <v>1.2</v>
      </c>
      <c r="E12" s="19">
        <v>3.7</v>
      </c>
    </row>
    <row r="13" spans="1:5" ht="16.5" customHeight="1" x14ac:dyDescent="0.3">
      <c r="A13" s="17">
        <v>4</v>
      </c>
      <c r="B13" s="18">
        <v>90453405</v>
      </c>
      <c r="C13" s="18">
        <v>7675.4</v>
      </c>
      <c r="D13" s="19">
        <v>1.1000000000000001</v>
      </c>
      <c r="E13" s="19">
        <v>3.7</v>
      </c>
    </row>
    <row r="14" spans="1:5" ht="16.5" customHeight="1" x14ac:dyDescent="0.3">
      <c r="A14" s="17">
        <v>5</v>
      </c>
      <c r="B14" s="18">
        <v>90542230</v>
      </c>
      <c r="C14" s="18">
        <v>7700.7</v>
      </c>
      <c r="D14" s="19">
        <v>1.1000000000000001</v>
      </c>
      <c r="E14" s="19">
        <v>3.7</v>
      </c>
    </row>
    <row r="15" spans="1:5" ht="16.5" customHeight="1" x14ac:dyDescent="0.3">
      <c r="A15" s="17">
        <v>6</v>
      </c>
      <c r="B15" s="21">
        <v>90888738</v>
      </c>
      <c r="C15" s="21">
        <v>7650.9</v>
      </c>
      <c r="D15" s="22">
        <v>1.2</v>
      </c>
      <c r="E15" s="22">
        <v>3.7</v>
      </c>
    </row>
    <row r="16" spans="1:5" ht="16.5" customHeight="1" x14ac:dyDescent="0.3">
      <c r="A16" s="23" t="s">
        <v>17</v>
      </c>
      <c r="B16" s="24">
        <f>AVERAGE(B10:B15)</f>
        <v>90599536</v>
      </c>
      <c r="C16" s="25">
        <f>AVERAGE(C10:C15)</f>
        <v>7667.2166666666672</v>
      </c>
      <c r="D16" s="26">
        <f>AVERAGE(D10:D15)</f>
        <v>1.1666666666666665</v>
      </c>
      <c r="E16" s="26">
        <f>AVERAGE(E10:E15)</f>
        <v>3.6999999999999997</v>
      </c>
    </row>
    <row r="17" spans="1:7" ht="16.5" customHeight="1" x14ac:dyDescent="0.3">
      <c r="A17" s="27" t="s">
        <v>18</v>
      </c>
      <c r="B17" s="28">
        <f>(STDEV(B10:B15)/B16)</f>
        <v>1.9265017466116414E-3</v>
      </c>
      <c r="C17" s="29"/>
      <c r="D17" s="29"/>
      <c r="E17" s="30"/>
      <c r="F17" s="2"/>
    </row>
    <row r="18" spans="1:7" s="2" customFormat="1" ht="16.5" customHeight="1" x14ac:dyDescent="0.3">
      <c r="A18" s="31" t="s">
        <v>19</v>
      </c>
      <c r="B18" s="32">
        <f>COUNT(B10:B15)</f>
        <v>6</v>
      </c>
      <c r="C18" s="33"/>
      <c r="D18" s="34"/>
      <c r="E18" s="35"/>
    </row>
    <row r="19" spans="1:7" s="2" customFormat="1" ht="15.75" customHeight="1" x14ac:dyDescent="0.25">
      <c r="A19" s="10"/>
      <c r="B19" s="10"/>
      <c r="C19" s="10"/>
      <c r="D19" s="10"/>
      <c r="E19" s="36"/>
    </row>
    <row r="20" spans="1:7" s="2" customFormat="1" ht="16.5" customHeight="1" x14ac:dyDescent="0.3">
      <c r="A20" s="11" t="s">
        <v>20</v>
      </c>
      <c r="B20" s="37" t="s">
        <v>21</v>
      </c>
      <c r="C20" s="38"/>
      <c r="D20" s="38"/>
      <c r="E20" s="39"/>
    </row>
    <row r="21" spans="1:7" ht="16.5" customHeight="1" x14ac:dyDescent="0.3">
      <c r="A21" s="11"/>
      <c r="B21" s="40" t="s">
        <v>129</v>
      </c>
      <c r="C21" s="38"/>
      <c r="D21" s="38"/>
      <c r="E21" s="39"/>
      <c r="F21" s="2"/>
    </row>
    <row r="22" spans="1:7" ht="16.5" customHeight="1" x14ac:dyDescent="0.3">
      <c r="A22" s="11"/>
      <c r="B22" s="40" t="s">
        <v>22</v>
      </c>
      <c r="C22" s="38"/>
      <c r="D22" s="38"/>
      <c r="E22" s="38"/>
    </row>
    <row r="23" spans="1:7" ht="15.75" customHeight="1" x14ac:dyDescent="0.25">
      <c r="A23" s="10"/>
      <c r="B23" s="10"/>
      <c r="C23" s="10"/>
      <c r="D23" s="10"/>
      <c r="E23" s="10"/>
    </row>
    <row r="24" spans="1:7" ht="14.25" customHeight="1" thickBot="1" x14ac:dyDescent="0.3">
      <c r="A24" s="41"/>
      <c r="B24" s="42"/>
      <c r="D24" s="43"/>
      <c r="F24" s="44"/>
      <c r="G24" s="44"/>
    </row>
    <row r="25" spans="1:7" ht="15" customHeight="1" x14ac:dyDescent="0.3">
      <c r="B25" s="303" t="s">
        <v>23</v>
      </c>
      <c r="C25" s="303"/>
      <c r="E25" s="45" t="s">
        <v>24</v>
      </c>
      <c r="F25" s="46"/>
      <c r="G25" s="45" t="s">
        <v>25</v>
      </c>
    </row>
    <row r="26" spans="1:7" ht="15" customHeight="1" x14ac:dyDescent="0.3">
      <c r="A26" s="47" t="s">
        <v>26</v>
      </c>
      <c r="B26" s="48"/>
      <c r="C26" s="48"/>
      <c r="E26" s="48"/>
      <c r="F26" s="2"/>
      <c r="G26" s="49"/>
    </row>
    <row r="27" spans="1:7" ht="15" customHeight="1" x14ac:dyDescent="0.3">
      <c r="A27" s="47" t="s">
        <v>27</v>
      </c>
      <c r="B27" s="50"/>
      <c r="C27" s="50"/>
      <c r="E27" s="50"/>
      <c r="F27" s="2"/>
      <c r="G27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25:C25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22" zoomScale="80" zoomScaleSheetLayoutView="80" workbookViewId="0">
      <selection activeCell="C40" sqref="C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9" t="s">
        <v>28</v>
      </c>
      <c r="B8" s="309"/>
      <c r="C8" s="309"/>
      <c r="D8" s="309"/>
      <c r="E8" s="309"/>
      <c r="F8" s="309"/>
      <c r="G8" s="30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0" t="s">
        <v>29</v>
      </c>
      <c r="B10" s="310"/>
      <c r="C10" s="310"/>
      <c r="D10" s="310"/>
      <c r="E10" s="310"/>
      <c r="F10" s="310"/>
      <c r="G10" s="31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4" t="s">
        <v>30</v>
      </c>
      <c r="B11" s="30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4" t="s">
        <v>31</v>
      </c>
      <c r="B12" s="30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4" t="s">
        <v>32</v>
      </c>
      <c r="B13" s="30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4" t="s">
        <v>33</v>
      </c>
      <c r="B14" s="304"/>
      <c r="C14" s="308"/>
      <c r="D14" s="308"/>
      <c r="E14" s="308"/>
      <c r="F14" s="308"/>
      <c r="G14" s="30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4" t="s">
        <v>34</v>
      </c>
      <c r="B15" s="304"/>
      <c r="C15" s="74" t="s">
        <v>11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4" t="s">
        <v>35</v>
      </c>
      <c r="B16" s="304"/>
      <c r="C16" s="74" t="s">
        <v>36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5" t="s">
        <v>1</v>
      </c>
      <c r="B18" s="305"/>
      <c r="C18" s="75" t="s">
        <v>37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38</v>
      </c>
      <c r="B20" s="78" t="s">
        <v>39</v>
      </c>
      <c r="C20" s="79" t="s">
        <v>40</v>
      </c>
      <c r="D20" s="77" t="s">
        <v>41</v>
      </c>
      <c r="E20" s="80" t="s">
        <v>42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368.33</v>
      </c>
      <c r="C21" s="83">
        <v>63.01</v>
      </c>
      <c r="D21" s="84">
        <f t="shared" ref="D21:D40" si="0">B21-C21</f>
        <v>305.32</v>
      </c>
      <c r="E21" s="85">
        <f t="shared" ref="E21:E40" si="1">(D21-$D$43)/$D$43</f>
        <v>-8.6249904605711414E-2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407.11</v>
      </c>
      <c r="C22" s="88">
        <v>67.27</v>
      </c>
      <c r="D22" s="89">
        <f t="shared" si="0"/>
        <v>339.84000000000003</v>
      </c>
      <c r="E22" s="85">
        <f t="shared" si="1"/>
        <v>1.7060239810019223E-2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338.92</v>
      </c>
      <c r="C23" s="88">
        <v>62.39</v>
      </c>
      <c r="D23" s="89">
        <f t="shared" si="0"/>
        <v>276.53000000000003</v>
      </c>
      <c r="E23" s="85">
        <f t="shared" si="1"/>
        <v>-0.1724115227322722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395.66</v>
      </c>
      <c r="C24" s="88">
        <v>62.32</v>
      </c>
      <c r="D24" s="89">
        <f t="shared" si="0"/>
        <v>333.34000000000003</v>
      </c>
      <c r="E24" s="85">
        <f t="shared" si="1"/>
        <v>-2.392713223070244E-3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399.71</v>
      </c>
      <c r="C25" s="88">
        <v>60.64</v>
      </c>
      <c r="D25" s="89">
        <f t="shared" si="0"/>
        <v>339.07</v>
      </c>
      <c r="E25" s="85">
        <f t="shared" si="1"/>
        <v>1.4755813066099278E-2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406.59</v>
      </c>
      <c r="C26" s="88">
        <v>64.78</v>
      </c>
      <c r="D26" s="89">
        <f t="shared" si="0"/>
        <v>341.80999999999995</v>
      </c>
      <c r="E26" s="85">
        <f t="shared" si="1"/>
        <v>2.2955980960047619E-2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377.64</v>
      </c>
      <c r="C27" s="88">
        <v>65.290000000000006</v>
      </c>
      <c r="D27" s="89">
        <f t="shared" si="0"/>
        <v>312.34999999999997</v>
      </c>
      <c r="E27" s="85">
        <f t="shared" si="1"/>
        <v>-6.5210787709923959E-2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396.39</v>
      </c>
      <c r="C28" s="88">
        <v>61.81</v>
      </c>
      <c r="D28" s="89">
        <f t="shared" si="0"/>
        <v>334.58</v>
      </c>
      <c r="E28" s="85">
        <f t="shared" si="1"/>
        <v>1.3183116632420652E-3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409.59</v>
      </c>
      <c r="C29" s="88">
        <v>63.25</v>
      </c>
      <c r="D29" s="89">
        <f t="shared" si="0"/>
        <v>346.34</v>
      </c>
      <c r="E29" s="85">
        <f t="shared" si="1"/>
        <v>3.651319284310852E-2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422.49</v>
      </c>
      <c r="C30" s="88">
        <v>63.84</v>
      </c>
      <c r="D30" s="89">
        <f t="shared" si="0"/>
        <v>358.65</v>
      </c>
      <c r="E30" s="85">
        <f t="shared" si="1"/>
        <v>7.3354093125774886E-2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419.55</v>
      </c>
      <c r="C31" s="88">
        <v>59.94</v>
      </c>
      <c r="D31" s="89">
        <f t="shared" si="0"/>
        <v>359.61</v>
      </c>
      <c r="E31" s="85">
        <f t="shared" si="1"/>
        <v>7.6227144650662049E-2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393.21</v>
      </c>
      <c r="C32" s="88">
        <v>64.81</v>
      </c>
      <c r="D32" s="89">
        <f t="shared" si="0"/>
        <v>328.4</v>
      </c>
      <c r="E32" s="85">
        <f t="shared" si="1"/>
        <v>-1.7176957528218403E-2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417.86</v>
      </c>
      <c r="C33" s="88">
        <v>62.92</v>
      </c>
      <c r="D33" s="89">
        <f t="shared" si="0"/>
        <v>354.94</v>
      </c>
      <c r="E33" s="85">
        <f t="shared" si="1"/>
        <v>6.2250946086888498E-2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370.99</v>
      </c>
      <c r="C34" s="88">
        <v>63.25</v>
      </c>
      <c r="D34" s="89">
        <f t="shared" si="0"/>
        <v>307.74</v>
      </c>
      <c r="E34" s="85">
        <f t="shared" si="1"/>
        <v>-7.9007420553391897E-2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403.05</v>
      </c>
      <c r="C35" s="88">
        <v>61.74</v>
      </c>
      <c r="D35" s="89">
        <f t="shared" si="0"/>
        <v>341.31</v>
      </c>
      <c r="E35" s="85">
        <f t="shared" si="1"/>
        <v>2.1459599957502445E-2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397.51</v>
      </c>
      <c r="C36" s="88">
        <v>64.540000000000006</v>
      </c>
      <c r="D36" s="89">
        <f t="shared" si="0"/>
        <v>332.96999999999997</v>
      </c>
      <c r="E36" s="85">
        <f t="shared" si="1"/>
        <v>-3.5000351649539818E-3</v>
      </c>
      <c r="G36" s="66"/>
      <c r="H36" s="66"/>
    </row>
    <row r="37" spans="1:15" ht="15" x14ac:dyDescent="0.3">
      <c r="A37" s="86">
        <v>17</v>
      </c>
      <c r="B37" s="90">
        <v>406.82</v>
      </c>
      <c r="C37" s="88">
        <v>61.22</v>
      </c>
      <c r="D37" s="89">
        <f t="shared" si="0"/>
        <v>345.6</v>
      </c>
      <c r="E37" s="85">
        <f t="shared" si="1"/>
        <v>3.4298548959341556E-2</v>
      </c>
    </row>
    <row r="38" spans="1:15" ht="15" x14ac:dyDescent="0.3">
      <c r="A38" s="86">
        <v>18</v>
      </c>
      <c r="B38" s="90">
        <v>384.73</v>
      </c>
      <c r="C38" s="88">
        <v>63.3</v>
      </c>
      <c r="D38" s="89">
        <f t="shared" si="0"/>
        <v>321.43</v>
      </c>
      <c r="E38" s="85">
        <f t="shared" si="1"/>
        <v>-3.80365087037004E-2</v>
      </c>
    </row>
    <row r="39" spans="1:15" ht="15" x14ac:dyDescent="0.3">
      <c r="A39" s="86">
        <v>19</v>
      </c>
      <c r="B39" s="90">
        <v>417.7</v>
      </c>
      <c r="C39" s="88">
        <v>61.2</v>
      </c>
      <c r="D39" s="89">
        <f t="shared" si="0"/>
        <v>356.5</v>
      </c>
      <c r="E39" s="85">
        <f t="shared" si="1"/>
        <v>6.6919654814829976E-2</v>
      </c>
    </row>
    <row r="40" spans="1:15" ht="14.25" customHeight="1" x14ac:dyDescent="0.3">
      <c r="A40" s="91">
        <v>20</v>
      </c>
      <c r="B40" s="92">
        <v>412.94</v>
      </c>
      <c r="C40" s="93">
        <v>66.48</v>
      </c>
      <c r="D40" s="94">
        <f t="shared" si="0"/>
        <v>346.46</v>
      </c>
      <c r="E40" s="95">
        <f t="shared" si="1"/>
        <v>3.6872324283719414E-2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43</v>
      </c>
      <c r="B42" s="97">
        <f>SUM(B21:B40)</f>
        <v>7946.7899999999991</v>
      </c>
      <c r="C42" s="98">
        <f>SUM(C21:C40)</f>
        <v>1263.9999999999998</v>
      </c>
      <c r="D42" s="99">
        <f>SUM(D21:D40)</f>
        <v>6682.7900000000018</v>
      </c>
    </row>
    <row r="43" spans="1:15" ht="15.75" customHeight="1" x14ac:dyDescent="0.3">
      <c r="A43" s="100" t="s">
        <v>44</v>
      </c>
      <c r="B43" s="101">
        <f>AVERAGE(B21:B40)</f>
        <v>397.33949999999993</v>
      </c>
      <c r="C43" s="102">
        <f>AVERAGE(C21:C40)</f>
        <v>63.199999999999989</v>
      </c>
      <c r="D43" s="103">
        <f>AVERAGE(D21:D40)</f>
        <v>334.13950000000011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44</v>
      </c>
      <c r="C46" s="106" t="s">
        <v>45</v>
      </c>
    </row>
    <row r="47" spans="1:15" ht="15.75" customHeight="1" x14ac:dyDescent="0.3">
      <c r="B47" s="306">
        <f>D43</f>
        <v>334.13950000000011</v>
      </c>
      <c r="C47" s="107">
        <f>-(IF(D43&gt;300, 7.5%, 10%))</f>
        <v>-7.4999999999999997E-2</v>
      </c>
      <c r="D47" s="108">
        <f>IF(D43&lt;300, D43*0.9, D43*0.925)</f>
        <v>309.07903750000014</v>
      </c>
    </row>
    <row r="48" spans="1:15" ht="15.75" customHeight="1" x14ac:dyDescent="0.3">
      <c r="B48" s="307"/>
      <c r="C48" s="109">
        <f>+(IF(D43&gt;300, 7.5%, 10%))</f>
        <v>7.4999999999999997E-2</v>
      </c>
      <c r="D48" s="108">
        <f>IF(D43&lt;300, D43*1.1, D43*1.075)</f>
        <v>359.19996250000008</v>
      </c>
    </row>
    <row r="49" spans="1:7" ht="14.25" customHeight="1" x14ac:dyDescent="0.3">
      <c r="A49" s="110"/>
      <c r="D49" s="111"/>
    </row>
    <row r="50" spans="1:7" ht="15" customHeight="1" x14ac:dyDescent="0.3">
      <c r="B50" s="303" t="s">
        <v>23</v>
      </c>
      <c r="C50" s="303"/>
      <c r="D50" s="73"/>
      <c r="E50" s="112" t="s">
        <v>24</v>
      </c>
      <c r="F50" s="113"/>
      <c r="G50" s="112" t="s">
        <v>25</v>
      </c>
    </row>
    <row r="51" spans="1:7" ht="15" customHeight="1" x14ac:dyDescent="0.3">
      <c r="A51" s="114" t="s">
        <v>26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27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60" zoomScaleNormal="60" zoomScalePageLayoutView="55" workbookViewId="0">
      <selection activeCell="D47" sqref="D4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9" t="s">
        <v>46</v>
      </c>
      <c r="B1" s="339"/>
      <c r="C1" s="339"/>
      <c r="D1" s="339"/>
      <c r="E1" s="339"/>
      <c r="F1" s="339"/>
      <c r="G1" s="339"/>
      <c r="H1" s="339"/>
      <c r="I1" s="339"/>
    </row>
    <row r="2" spans="1:9" ht="18.75" customHeight="1" x14ac:dyDescent="0.25">
      <c r="A2" s="339"/>
      <c r="B2" s="339"/>
      <c r="C2" s="339"/>
      <c r="D2" s="339"/>
      <c r="E2" s="339"/>
      <c r="F2" s="339"/>
      <c r="G2" s="339"/>
      <c r="H2" s="339"/>
      <c r="I2" s="339"/>
    </row>
    <row r="3" spans="1:9" ht="18.75" customHeight="1" x14ac:dyDescent="0.25">
      <c r="A3" s="339"/>
      <c r="B3" s="339"/>
      <c r="C3" s="339"/>
      <c r="D3" s="339"/>
      <c r="E3" s="339"/>
      <c r="F3" s="339"/>
      <c r="G3" s="339"/>
      <c r="H3" s="339"/>
      <c r="I3" s="339"/>
    </row>
    <row r="4" spans="1:9" ht="18.75" customHeight="1" x14ac:dyDescent="0.25">
      <c r="A4" s="339"/>
      <c r="B4" s="339"/>
      <c r="C4" s="339"/>
      <c r="D4" s="339"/>
      <c r="E4" s="339"/>
      <c r="F4" s="339"/>
      <c r="G4" s="339"/>
      <c r="H4" s="339"/>
      <c r="I4" s="339"/>
    </row>
    <row r="5" spans="1:9" ht="18.75" customHeight="1" x14ac:dyDescent="0.25">
      <c r="A5" s="339"/>
      <c r="B5" s="339"/>
      <c r="C5" s="339"/>
      <c r="D5" s="339"/>
      <c r="E5" s="339"/>
      <c r="F5" s="339"/>
      <c r="G5" s="339"/>
      <c r="H5" s="339"/>
      <c r="I5" s="339"/>
    </row>
    <row r="6" spans="1:9" ht="18.75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</row>
    <row r="7" spans="1:9" ht="18.75" customHeight="1" x14ac:dyDescent="0.25">
      <c r="A7" s="339"/>
      <c r="B7" s="339"/>
      <c r="C7" s="339"/>
      <c r="D7" s="339"/>
      <c r="E7" s="339"/>
      <c r="F7" s="339"/>
      <c r="G7" s="339"/>
      <c r="H7" s="339"/>
      <c r="I7" s="339"/>
    </row>
    <row r="8" spans="1:9" x14ac:dyDescent="0.25">
      <c r="A8" s="340" t="s">
        <v>47</v>
      </c>
      <c r="B8" s="340"/>
      <c r="C8" s="340"/>
      <c r="D8" s="340"/>
      <c r="E8" s="340"/>
      <c r="F8" s="340"/>
      <c r="G8" s="340"/>
      <c r="H8" s="340"/>
      <c r="I8" s="340"/>
    </row>
    <row r="9" spans="1:9" x14ac:dyDescent="0.25">
      <c r="A9" s="340"/>
      <c r="B9" s="340"/>
      <c r="C9" s="340"/>
      <c r="D9" s="340"/>
      <c r="E9" s="340"/>
      <c r="F9" s="340"/>
      <c r="G9" s="340"/>
      <c r="H9" s="340"/>
      <c r="I9" s="340"/>
    </row>
    <row r="10" spans="1:9" x14ac:dyDescent="0.25">
      <c r="A10" s="340"/>
      <c r="B10" s="340"/>
      <c r="C10" s="340"/>
      <c r="D10" s="340"/>
      <c r="E10" s="340"/>
      <c r="F10" s="340"/>
      <c r="G10" s="340"/>
      <c r="H10" s="340"/>
      <c r="I10" s="340"/>
    </row>
    <row r="11" spans="1:9" x14ac:dyDescent="0.25">
      <c r="A11" s="340"/>
      <c r="B11" s="340"/>
      <c r="C11" s="340"/>
      <c r="D11" s="340"/>
      <c r="E11" s="340"/>
      <c r="F11" s="340"/>
      <c r="G11" s="340"/>
      <c r="H11" s="340"/>
      <c r="I11" s="340"/>
    </row>
    <row r="12" spans="1:9" x14ac:dyDescent="0.25">
      <c r="A12" s="340"/>
      <c r="B12" s="340"/>
      <c r="C12" s="340"/>
      <c r="D12" s="340"/>
      <c r="E12" s="340"/>
      <c r="F12" s="340"/>
      <c r="G12" s="340"/>
      <c r="H12" s="340"/>
      <c r="I12" s="340"/>
    </row>
    <row r="13" spans="1:9" x14ac:dyDescent="0.25">
      <c r="A13" s="340"/>
      <c r="B13" s="340"/>
      <c r="C13" s="340"/>
      <c r="D13" s="340"/>
      <c r="E13" s="340"/>
      <c r="F13" s="340"/>
      <c r="G13" s="340"/>
      <c r="H13" s="340"/>
      <c r="I13" s="340"/>
    </row>
    <row r="14" spans="1:9" x14ac:dyDescent="0.25">
      <c r="A14" s="340"/>
      <c r="B14" s="340"/>
      <c r="C14" s="340"/>
      <c r="D14" s="340"/>
      <c r="E14" s="340"/>
      <c r="F14" s="340"/>
      <c r="G14" s="340"/>
      <c r="H14" s="340"/>
      <c r="I14" s="340"/>
    </row>
    <row r="15" spans="1:9" ht="19.5" customHeight="1" x14ac:dyDescent="0.3">
      <c r="A15" s="119"/>
    </row>
    <row r="16" spans="1:9" ht="19.5" customHeight="1" x14ac:dyDescent="0.3">
      <c r="A16" s="312" t="s">
        <v>28</v>
      </c>
      <c r="B16" s="313"/>
      <c r="C16" s="313"/>
      <c r="D16" s="313"/>
      <c r="E16" s="313"/>
      <c r="F16" s="313"/>
      <c r="G16" s="313"/>
      <c r="H16" s="314"/>
    </row>
    <row r="17" spans="1:14" ht="20.25" customHeight="1" x14ac:dyDescent="0.25">
      <c r="A17" s="315" t="s">
        <v>48</v>
      </c>
      <c r="B17" s="315"/>
      <c r="C17" s="315"/>
      <c r="D17" s="315"/>
      <c r="E17" s="315"/>
      <c r="F17" s="315"/>
      <c r="G17" s="315"/>
      <c r="H17" s="315"/>
    </row>
    <row r="18" spans="1:14" ht="26.25" customHeight="1" x14ac:dyDescent="0.4">
      <c r="A18" s="121" t="s">
        <v>30</v>
      </c>
      <c r="B18" s="311" t="s">
        <v>5</v>
      </c>
      <c r="C18" s="311"/>
      <c r="D18" s="288"/>
      <c r="E18" s="122"/>
      <c r="F18" s="123"/>
      <c r="G18" s="123"/>
      <c r="H18" s="123"/>
    </row>
    <row r="19" spans="1:14" ht="26.25" customHeight="1" x14ac:dyDescent="0.4">
      <c r="A19" s="121" t="s">
        <v>31</v>
      </c>
      <c r="B19" s="124" t="s">
        <v>7</v>
      </c>
      <c r="C19" s="301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32</v>
      </c>
      <c r="B20" s="316" t="s">
        <v>125</v>
      </c>
      <c r="C20" s="316"/>
      <c r="D20" s="123"/>
      <c r="E20" s="123"/>
      <c r="F20" s="123"/>
      <c r="G20" s="123"/>
      <c r="H20" s="123"/>
    </row>
    <row r="21" spans="1:14" ht="26.25" customHeight="1" x14ac:dyDescent="0.4">
      <c r="A21" s="121" t="s">
        <v>33</v>
      </c>
      <c r="B21" s="316" t="s">
        <v>9</v>
      </c>
      <c r="C21" s="316"/>
      <c r="D21" s="316"/>
      <c r="E21" s="316"/>
      <c r="F21" s="316"/>
      <c r="G21" s="316"/>
      <c r="H21" s="316"/>
      <c r="I21" s="125"/>
    </row>
    <row r="22" spans="1:14" ht="26.25" customHeight="1" x14ac:dyDescent="0.4">
      <c r="A22" s="121" t="s">
        <v>34</v>
      </c>
      <c r="B22" s="126">
        <v>42559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35</v>
      </c>
      <c r="B23" s="126">
        <v>42577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1" t="s">
        <v>126</v>
      </c>
      <c r="C26" s="311"/>
    </row>
    <row r="27" spans="1:14" ht="26.25" customHeight="1" x14ac:dyDescent="0.4">
      <c r="A27" s="130" t="s">
        <v>49</v>
      </c>
      <c r="B27" s="317" t="s">
        <v>127</v>
      </c>
      <c r="C27" s="317"/>
    </row>
    <row r="28" spans="1:14" ht="27" customHeight="1" x14ac:dyDescent="0.4">
      <c r="A28" s="130" t="s">
        <v>6</v>
      </c>
      <c r="B28" s="131">
        <v>100</v>
      </c>
    </row>
    <row r="29" spans="1:14" s="14" customFormat="1" ht="27" customHeight="1" x14ac:dyDescent="0.4">
      <c r="A29" s="130" t="s">
        <v>50</v>
      </c>
      <c r="B29" s="132"/>
      <c r="C29" s="318" t="s">
        <v>51</v>
      </c>
      <c r="D29" s="319"/>
      <c r="E29" s="319"/>
      <c r="F29" s="319"/>
      <c r="G29" s="320"/>
      <c r="I29" s="133"/>
      <c r="J29" s="133"/>
      <c r="K29" s="133"/>
      <c r="L29" s="133"/>
    </row>
    <row r="30" spans="1:14" s="14" customFormat="1" ht="19.5" customHeight="1" x14ac:dyDescent="0.3">
      <c r="A30" s="130" t="s">
        <v>52</v>
      </c>
      <c r="B30" s="134">
        <f>B28-B29</f>
        <v>100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53</v>
      </c>
      <c r="B31" s="137">
        <v>1</v>
      </c>
      <c r="C31" s="321" t="s">
        <v>54</v>
      </c>
      <c r="D31" s="322"/>
      <c r="E31" s="322"/>
      <c r="F31" s="322"/>
      <c r="G31" s="322"/>
      <c r="H31" s="323"/>
      <c r="I31" s="133"/>
      <c r="J31" s="133"/>
      <c r="K31" s="133"/>
      <c r="L31" s="133"/>
    </row>
    <row r="32" spans="1:14" s="14" customFormat="1" ht="27" customHeight="1" x14ac:dyDescent="0.4">
      <c r="A32" s="130" t="s">
        <v>55</v>
      </c>
      <c r="B32" s="137">
        <v>1</v>
      </c>
      <c r="C32" s="321" t="s">
        <v>56</v>
      </c>
      <c r="D32" s="322"/>
      <c r="E32" s="322"/>
      <c r="F32" s="322"/>
      <c r="G32" s="322"/>
      <c r="H32" s="323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57</v>
      </c>
      <c r="B34" s="142">
        <f>B31/B32</f>
        <v>1</v>
      </c>
      <c r="C34" s="120" t="s">
        <v>58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59</v>
      </c>
      <c r="B36" s="144">
        <v>50</v>
      </c>
      <c r="C36" s="120"/>
      <c r="D36" s="324" t="s">
        <v>60</v>
      </c>
      <c r="E36" s="325"/>
      <c r="F36" s="324" t="s">
        <v>61</v>
      </c>
      <c r="G36" s="326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62</v>
      </c>
      <c r="B37" s="146">
        <v>5</v>
      </c>
      <c r="C37" s="147" t="s">
        <v>63</v>
      </c>
      <c r="D37" s="148" t="s">
        <v>64</v>
      </c>
      <c r="E37" s="149" t="s">
        <v>65</v>
      </c>
      <c r="F37" s="148" t="s">
        <v>64</v>
      </c>
      <c r="G37" s="150" t="s">
        <v>65</v>
      </c>
      <c r="I37" s="151" t="s">
        <v>66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67</v>
      </c>
      <c r="B38" s="146">
        <v>25</v>
      </c>
      <c r="C38" s="152">
        <v>1</v>
      </c>
      <c r="D38" s="153">
        <v>90390406</v>
      </c>
      <c r="E38" s="154">
        <f>IF(ISBLANK(D38),"-",$D$48/$D$45*D38)</f>
        <v>77654987.972508579</v>
      </c>
      <c r="F38" s="153">
        <v>90424340</v>
      </c>
      <c r="G38" s="155">
        <f>IF(ISBLANK(F38),"-",$D$48/$F$45*F38)</f>
        <v>78607076.209794268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68</v>
      </c>
      <c r="B39" s="146">
        <v>1</v>
      </c>
      <c r="C39" s="157">
        <v>2</v>
      </c>
      <c r="D39" s="158">
        <v>90945136</v>
      </c>
      <c r="E39" s="159">
        <f>IF(ISBLANK(D39),"-",$D$48/$D$45*D39)</f>
        <v>78131560.137457043</v>
      </c>
      <c r="F39" s="158">
        <v>90738805</v>
      </c>
      <c r="G39" s="160">
        <f>IF(ISBLANK(F39),"-",$D$48/$F$45*F39)</f>
        <v>78880444.798609108</v>
      </c>
      <c r="I39" s="328">
        <f>ABS((F43/D43*D42)-F42)/D42</f>
        <v>1.1036219755957059E-2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69</v>
      </c>
      <c r="B40" s="146">
        <v>1</v>
      </c>
      <c r="C40" s="157">
        <v>3</v>
      </c>
      <c r="D40" s="158">
        <v>90805521</v>
      </c>
      <c r="E40" s="159">
        <f>IF(ISBLANK(D40),"-",$D$48/$D$45*D40)</f>
        <v>78011615.979381442</v>
      </c>
      <c r="F40" s="158">
        <v>90786085</v>
      </c>
      <c r="G40" s="160">
        <f>IF(ISBLANK(F40),"-",$D$48/$F$45*F40)</f>
        <v>78921545.928716317</v>
      </c>
      <c r="I40" s="328"/>
      <c r="L40" s="138"/>
      <c r="M40" s="138"/>
      <c r="N40" s="161"/>
    </row>
    <row r="41" spans="1:14" ht="27" customHeight="1" x14ac:dyDescent="0.4">
      <c r="A41" s="145" t="s">
        <v>70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71</v>
      </c>
      <c r="B42" s="146">
        <v>1</v>
      </c>
      <c r="C42" s="167" t="s">
        <v>72</v>
      </c>
      <c r="D42" s="168">
        <f>AVERAGE(D38:D41)</f>
        <v>90713687.666666672</v>
      </c>
      <c r="E42" s="169">
        <f>AVERAGE(E38:E41)</f>
        <v>77932721.363115683</v>
      </c>
      <c r="F42" s="168">
        <f>AVERAGE(F38:F41)</f>
        <v>90649743.333333328</v>
      </c>
      <c r="G42" s="170">
        <f>AVERAGE(G38:G41)</f>
        <v>78803022.312373221</v>
      </c>
      <c r="H42" s="171"/>
    </row>
    <row r="43" spans="1:14" ht="26.25" customHeight="1" x14ac:dyDescent="0.4">
      <c r="A43" s="145" t="s">
        <v>73</v>
      </c>
      <c r="B43" s="146">
        <v>1</v>
      </c>
      <c r="C43" s="172" t="s">
        <v>74</v>
      </c>
      <c r="D43" s="173">
        <v>34.92</v>
      </c>
      <c r="E43" s="161"/>
      <c r="F43" s="173">
        <v>34.51</v>
      </c>
      <c r="H43" s="171"/>
    </row>
    <row r="44" spans="1:14" ht="26.25" customHeight="1" x14ac:dyDescent="0.4">
      <c r="A44" s="145" t="s">
        <v>75</v>
      </c>
      <c r="B44" s="146">
        <v>1</v>
      </c>
      <c r="C44" s="174" t="s">
        <v>76</v>
      </c>
      <c r="D44" s="175">
        <f>D43*$B$34</f>
        <v>34.92</v>
      </c>
      <c r="E44" s="176"/>
      <c r="F44" s="175">
        <f>F43*$B$34</f>
        <v>34.51</v>
      </c>
      <c r="H44" s="171"/>
    </row>
    <row r="45" spans="1:14" ht="19.5" customHeight="1" x14ac:dyDescent="0.3">
      <c r="A45" s="145" t="s">
        <v>77</v>
      </c>
      <c r="B45" s="177">
        <f>(B44/B43)*(B42/B41)*(B40/B39)*(B38/B37)*B36</f>
        <v>250</v>
      </c>
      <c r="C45" s="174" t="s">
        <v>78</v>
      </c>
      <c r="D45" s="178">
        <f>D44*$B$30/100</f>
        <v>34.92</v>
      </c>
      <c r="E45" s="179"/>
      <c r="F45" s="178">
        <f>F44*$B$30/100</f>
        <v>34.51</v>
      </c>
      <c r="H45" s="171"/>
    </row>
    <row r="46" spans="1:14" ht="19.5" customHeight="1" x14ac:dyDescent="0.3">
      <c r="A46" s="329" t="s">
        <v>79</v>
      </c>
      <c r="B46" s="330"/>
      <c r="C46" s="174" t="s">
        <v>80</v>
      </c>
      <c r="D46" s="180">
        <f>D45/$B$45</f>
        <v>0.13968</v>
      </c>
      <c r="E46" s="181"/>
      <c r="F46" s="182">
        <f>F45/$B$45</f>
        <v>0.13804</v>
      </c>
      <c r="H46" s="171"/>
    </row>
    <row r="47" spans="1:14" ht="27" customHeight="1" x14ac:dyDescent="0.4">
      <c r="A47" s="331"/>
      <c r="B47" s="332"/>
      <c r="C47" s="183" t="s">
        <v>81</v>
      </c>
      <c r="D47" s="184">
        <v>0.12</v>
      </c>
      <c r="E47" s="185"/>
      <c r="F47" s="181"/>
      <c r="H47" s="171"/>
    </row>
    <row r="48" spans="1:14" ht="18.75" x14ac:dyDescent="0.3">
      <c r="C48" s="186" t="s">
        <v>82</v>
      </c>
      <c r="D48" s="178">
        <f>D47*$B$45</f>
        <v>30</v>
      </c>
      <c r="F48" s="187"/>
      <c r="H48" s="171"/>
    </row>
    <row r="49" spans="1:12" ht="19.5" customHeight="1" x14ac:dyDescent="0.3">
      <c r="C49" s="188" t="s">
        <v>83</v>
      </c>
      <c r="D49" s="189">
        <f>D48/B34</f>
        <v>30</v>
      </c>
      <c r="F49" s="187"/>
      <c r="H49" s="171"/>
    </row>
    <row r="50" spans="1:12" ht="18.75" x14ac:dyDescent="0.3">
      <c r="C50" s="143" t="s">
        <v>84</v>
      </c>
      <c r="D50" s="190">
        <f>AVERAGE(E38:E41,G38:G41)</f>
        <v>78367871.83774446</v>
      </c>
      <c r="F50" s="191"/>
      <c r="H50" s="171"/>
    </row>
    <row r="51" spans="1:12" ht="18.75" x14ac:dyDescent="0.3">
      <c r="C51" s="145" t="s">
        <v>85</v>
      </c>
      <c r="D51" s="192">
        <f>STDEV(E38:E41,G38:G41)/D50</f>
        <v>6.550089759447709E-3</v>
      </c>
      <c r="F51" s="191"/>
      <c r="H51" s="171"/>
    </row>
    <row r="52" spans="1:12" ht="19.5" customHeight="1" x14ac:dyDescent="0.3">
      <c r="C52" s="193" t="s">
        <v>19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86</v>
      </c>
    </row>
    <row r="55" spans="1:12" ht="18.75" x14ac:dyDescent="0.3">
      <c r="A55" s="120" t="s">
        <v>87</v>
      </c>
      <c r="B55" s="197" t="str">
        <f>B21</f>
        <v>Each capsules contains Chloramphenicol B.P 250 mg</v>
      </c>
    </row>
    <row r="56" spans="1:12" ht="26.25" customHeight="1" x14ac:dyDescent="0.4">
      <c r="A56" s="198" t="s">
        <v>88</v>
      </c>
      <c r="B56" s="199">
        <v>250</v>
      </c>
      <c r="C56" s="120" t="str">
        <f>B20</f>
        <v xml:space="preserve">Chloramphenicol </v>
      </c>
      <c r="H56" s="200"/>
    </row>
    <row r="57" spans="1:12" ht="18.75" x14ac:dyDescent="0.3">
      <c r="A57" s="197" t="s">
        <v>89</v>
      </c>
      <c r="B57" s="289">
        <f>Uniformity!D43</f>
        <v>334.13950000000011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90</v>
      </c>
      <c r="B59" s="144">
        <v>100</v>
      </c>
      <c r="C59" s="120"/>
      <c r="D59" s="201" t="s">
        <v>91</v>
      </c>
      <c r="E59" s="202" t="s">
        <v>63</v>
      </c>
      <c r="F59" s="202" t="s">
        <v>64</v>
      </c>
      <c r="G59" s="202" t="s">
        <v>92</v>
      </c>
      <c r="H59" s="147" t="s">
        <v>93</v>
      </c>
      <c r="L59" s="133"/>
    </row>
    <row r="60" spans="1:12" s="14" customFormat="1" ht="26.25" customHeight="1" x14ac:dyDescent="0.4">
      <c r="A60" s="145" t="s">
        <v>94</v>
      </c>
      <c r="B60" s="146">
        <v>5</v>
      </c>
      <c r="C60" s="333" t="s">
        <v>95</v>
      </c>
      <c r="D60" s="336">
        <v>338.91</v>
      </c>
      <c r="E60" s="203">
        <v>1</v>
      </c>
      <c r="F60" s="204">
        <v>76211280</v>
      </c>
      <c r="G60" s="290">
        <f>IF(ISBLANK(F60),"-",(F60/$D$50*$D$47*$B$68)*($B$57/$D$60))</f>
        <v>230.11020497681605</v>
      </c>
      <c r="H60" s="205">
        <f t="shared" ref="H60:H71" si="0">IF(ISBLANK(F60),"-",G60/$B$56)</f>
        <v>0.92044081990726423</v>
      </c>
      <c r="L60" s="133"/>
    </row>
    <row r="61" spans="1:12" s="14" customFormat="1" ht="26.25" customHeight="1" x14ac:dyDescent="0.4">
      <c r="A61" s="145" t="s">
        <v>96</v>
      </c>
      <c r="B61" s="146">
        <v>100</v>
      </c>
      <c r="C61" s="334"/>
      <c r="D61" s="337"/>
      <c r="E61" s="206">
        <v>2</v>
      </c>
      <c r="F61" s="158">
        <v>76054570</v>
      </c>
      <c r="G61" s="291">
        <f>IF(ISBLANK(F61),"-",(F61/$D$50*$D$47*$B$68)*($B$57/$D$60))</f>
        <v>229.63703919057136</v>
      </c>
      <c r="H61" s="207">
        <f t="shared" si="0"/>
        <v>0.91854815676228541</v>
      </c>
      <c r="L61" s="133"/>
    </row>
    <row r="62" spans="1:12" s="14" customFormat="1" ht="26.25" customHeight="1" x14ac:dyDescent="0.4">
      <c r="A62" s="145" t="s">
        <v>97</v>
      </c>
      <c r="B62" s="146">
        <v>1</v>
      </c>
      <c r="C62" s="334"/>
      <c r="D62" s="337"/>
      <c r="E62" s="206">
        <v>3</v>
      </c>
      <c r="F62" s="208">
        <v>76227651</v>
      </c>
      <c r="G62" s="291">
        <f>IF(ISBLANK(F62),"-",(F62/$D$50*$D$47*$B$68)*($B$57/$D$60))</f>
        <v>230.1596351158411</v>
      </c>
      <c r="H62" s="207">
        <f t="shared" si="0"/>
        <v>0.92063854046336435</v>
      </c>
      <c r="L62" s="133"/>
    </row>
    <row r="63" spans="1:12" ht="27" customHeight="1" x14ac:dyDescent="0.4">
      <c r="A63" s="145" t="s">
        <v>98</v>
      </c>
      <c r="B63" s="146">
        <v>1</v>
      </c>
      <c r="C63" s="335"/>
      <c r="D63" s="338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99</v>
      </c>
      <c r="B64" s="146">
        <v>1</v>
      </c>
      <c r="C64" s="333" t="s">
        <v>100</v>
      </c>
      <c r="D64" s="336">
        <v>332.14</v>
      </c>
      <c r="E64" s="203">
        <v>1</v>
      </c>
      <c r="F64" s="204">
        <v>74219039</v>
      </c>
      <c r="G64" s="292">
        <f>IF(ISBLANK(F64),"-",(F64/$D$50*$D$47*$B$68)*($B$57/$D$64))</f>
        <v>228.66260789982741</v>
      </c>
      <c r="H64" s="211">
        <f t="shared" si="0"/>
        <v>0.91465043159930959</v>
      </c>
    </row>
    <row r="65" spans="1:8" ht="26.25" customHeight="1" x14ac:dyDescent="0.4">
      <c r="A65" s="145" t="s">
        <v>101</v>
      </c>
      <c r="B65" s="146">
        <v>1</v>
      </c>
      <c r="C65" s="334"/>
      <c r="D65" s="337"/>
      <c r="E65" s="206">
        <v>2</v>
      </c>
      <c r="F65" s="158">
        <v>74743896</v>
      </c>
      <c r="G65" s="293">
        <f>IF(ISBLANK(F65),"-",(F65/$D$50*$D$47*$B$68)*($B$57/$D$64))</f>
        <v>230.27964810961075</v>
      </c>
      <c r="H65" s="212">
        <f t="shared" si="0"/>
        <v>0.92111859243844296</v>
      </c>
    </row>
    <row r="66" spans="1:8" ht="26.25" customHeight="1" x14ac:dyDescent="0.4">
      <c r="A66" s="145" t="s">
        <v>102</v>
      </c>
      <c r="B66" s="146">
        <v>1</v>
      </c>
      <c r="C66" s="334"/>
      <c r="D66" s="337"/>
      <c r="E66" s="206">
        <v>3</v>
      </c>
      <c r="F66" s="158">
        <v>74852717</v>
      </c>
      <c r="G66" s="293">
        <f>IF(ISBLANK(F66),"-",(F66/$D$50*$D$47*$B$68)*($B$57/$D$64))</f>
        <v>230.61491644492654</v>
      </c>
      <c r="H66" s="212">
        <f t="shared" si="0"/>
        <v>0.92245966577970617</v>
      </c>
    </row>
    <row r="67" spans="1:8" ht="27" customHeight="1" x14ac:dyDescent="0.4">
      <c r="A67" s="145" t="s">
        <v>103</v>
      </c>
      <c r="B67" s="146">
        <v>1</v>
      </c>
      <c r="C67" s="335"/>
      <c r="D67" s="338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104</v>
      </c>
      <c r="B68" s="214">
        <f>(B67/B66)*(B65/B64)*(B63/B62)*(B61/B60)*B59</f>
        <v>2000</v>
      </c>
      <c r="C68" s="333" t="s">
        <v>105</v>
      </c>
      <c r="D68" s="336">
        <v>349.25</v>
      </c>
      <c r="E68" s="203">
        <v>1</v>
      </c>
      <c r="F68" s="204">
        <v>79624427</v>
      </c>
      <c r="G68" s="292">
        <f>IF(ISBLANK(F68),"-",(F68/$D$50*$D$47*$B$68)*($B$57/$D$68))</f>
        <v>233.29794437548671</v>
      </c>
      <c r="H68" s="207">
        <f t="shared" si="0"/>
        <v>0.93319177750194682</v>
      </c>
    </row>
    <row r="69" spans="1:8" ht="27" customHeight="1" x14ac:dyDescent="0.4">
      <c r="A69" s="193" t="s">
        <v>106</v>
      </c>
      <c r="B69" s="215">
        <f>(D47*B68)/B56*B57</f>
        <v>320.77392000000009</v>
      </c>
      <c r="C69" s="334"/>
      <c r="D69" s="337"/>
      <c r="E69" s="206">
        <v>2</v>
      </c>
      <c r="F69" s="158">
        <v>80237583</v>
      </c>
      <c r="G69" s="293">
        <f>IF(ISBLANK(F69),"-",(F69/$D$50*$D$47*$B$68)*($B$57/$D$68))</f>
        <v>235.09447892865214</v>
      </c>
      <c r="H69" s="207">
        <f t="shared" si="0"/>
        <v>0.9403779157146086</v>
      </c>
    </row>
    <row r="70" spans="1:8" ht="26.25" customHeight="1" x14ac:dyDescent="0.4">
      <c r="A70" s="346" t="s">
        <v>79</v>
      </c>
      <c r="B70" s="347"/>
      <c r="C70" s="334"/>
      <c r="D70" s="337"/>
      <c r="E70" s="206">
        <v>3</v>
      </c>
      <c r="F70" s="158">
        <v>80245141</v>
      </c>
      <c r="G70" s="293">
        <f>IF(ISBLANK(F70),"-",(F70/$D$50*$D$47*$B$68)*($B$57/$D$68))</f>
        <v>235.11662371424146</v>
      </c>
      <c r="H70" s="207">
        <f t="shared" si="0"/>
        <v>0.94046649485696587</v>
      </c>
    </row>
    <row r="71" spans="1:8" ht="27" customHeight="1" x14ac:dyDescent="0.4">
      <c r="A71" s="348"/>
      <c r="B71" s="349"/>
      <c r="C71" s="345"/>
      <c r="D71" s="338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72</v>
      </c>
      <c r="G72" s="299">
        <f>AVERAGE(G60:G71)</f>
        <v>231.44145541733036</v>
      </c>
      <c r="H72" s="220">
        <f>AVERAGE(H60:H71)</f>
        <v>0.92576582166932164</v>
      </c>
    </row>
    <row r="73" spans="1:8" ht="26.25" customHeight="1" x14ac:dyDescent="0.4">
      <c r="C73" s="217"/>
      <c r="D73" s="217"/>
      <c r="E73" s="217"/>
      <c r="F73" s="221" t="s">
        <v>85</v>
      </c>
      <c r="G73" s="295">
        <f>STDEV(G60:G71)/G72</f>
        <v>1.044202198390308E-2</v>
      </c>
      <c r="H73" s="295">
        <f>STDEV(H60:H71)/H72</f>
        <v>1.0442021983903106E-2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19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107</v>
      </c>
      <c r="B76" s="225" t="s">
        <v>108</v>
      </c>
      <c r="C76" s="341" t="str">
        <f>B20</f>
        <v xml:space="preserve">Chloramphenicol </v>
      </c>
      <c r="D76" s="341"/>
      <c r="E76" s="226" t="s">
        <v>109</v>
      </c>
      <c r="F76" s="226"/>
      <c r="G76" s="227">
        <f>H72</f>
        <v>0.92576582166932164</v>
      </c>
      <c r="H76" s="228"/>
    </row>
    <row r="77" spans="1:8" ht="18.75" x14ac:dyDescent="0.3">
      <c r="A77" s="128" t="s">
        <v>110</v>
      </c>
      <c r="B77" s="128" t="s">
        <v>111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7" t="str">
        <f>B26</f>
        <v>Chloramphenicol</v>
      </c>
      <c r="C79" s="327"/>
    </row>
    <row r="80" spans="1:8" ht="26.25" customHeight="1" x14ac:dyDescent="0.4">
      <c r="A80" s="130" t="s">
        <v>49</v>
      </c>
      <c r="B80" s="327" t="str">
        <f>B27</f>
        <v>C83-1</v>
      </c>
      <c r="C80" s="327"/>
    </row>
    <row r="81" spans="1:12" ht="27" customHeight="1" x14ac:dyDescent="0.4">
      <c r="A81" s="130" t="s">
        <v>6</v>
      </c>
      <c r="B81" s="229">
        <f>B28</f>
        <v>100</v>
      </c>
    </row>
    <row r="82" spans="1:12" s="14" customFormat="1" ht="27" customHeight="1" x14ac:dyDescent="0.4">
      <c r="A82" s="130" t="s">
        <v>50</v>
      </c>
      <c r="B82" s="132">
        <v>0</v>
      </c>
      <c r="C82" s="318" t="s">
        <v>51</v>
      </c>
      <c r="D82" s="319"/>
      <c r="E82" s="319"/>
      <c r="F82" s="319"/>
      <c r="G82" s="320"/>
      <c r="I82" s="133"/>
      <c r="J82" s="133"/>
      <c r="K82" s="133"/>
      <c r="L82" s="133"/>
    </row>
    <row r="83" spans="1:12" s="14" customFormat="1" ht="19.5" customHeight="1" x14ac:dyDescent="0.3">
      <c r="A83" s="130" t="s">
        <v>52</v>
      </c>
      <c r="B83" s="134">
        <f>B81-B82</f>
        <v>100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53</v>
      </c>
      <c r="B84" s="137">
        <v>1</v>
      </c>
      <c r="C84" s="321" t="s">
        <v>112</v>
      </c>
      <c r="D84" s="322"/>
      <c r="E84" s="322"/>
      <c r="F84" s="322"/>
      <c r="G84" s="322"/>
      <c r="H84" s="323"/>
      <c r="I84" s="133"/>
      <c r="J84" s="133"/>
      <c r="K84" s="133"/>
      <c r="L84" s="133"/>
    </row>
    <row r="85" spans="1:12" s="14" customFormat="1" ht="27" customHeight="1" x14ac:dyDescent="0.4">
      <c r="A85" s="130" t="s">
        <v>55</v>
      </c>
      <c r="B85" s="137">
        <v>1</v>
      </c>
      <c r="C85" s="321" t="s">
        <v>113</v>
      </c>
      <c r="D85" s="322"/>
      <c r="E85" s="322"/>
      <c r="F85" s="322"/>
      <c r="G85" s="322"/>
      <c r="H85" s="323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57</v>
      </c>
      <c r="B87" s="142">
        <f>B84/B85</f>
        <v>1</v>
      </c>
      <c r="C87" s="120" t="s">
        <v>58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59</v>
      </c>
      <c r="B89" s="144">
        <v>100</v>
      </c>
      <c r="D89" s="230" t="s">
        <v>60</v>
      </c>
      <c r="E89" s="231"/>
      <c r="F89" s="324" t="s">
        <v>61</v>
      </c>
      <c r="G89" s="326"/>
    </row>
    <row r="90" spans="1:12" ht="27" customHeight="1" x14ac:dyDescent="0.4">
      <c r="A90" s="145" t="s">
        <v>62</v>
      </c>
      <c r="B90" s="146">
        <v>2</v>
      </c>
      <c r="C90" s="232" t="s">
        <v>63</v>
      </c>
      <c r="D90" s="148" t="s">
        <v>64</v>
      </c>
      <c r="E90" s="149" t="s">
        <v>65</v>
      </c>
      <c r="F90" s="148" t="s">
        <v>64</v>
      </c>
      <c r="G90" s="233" t="s">
        <v>65</v>
      </c>
      <c r="I90" s="151" t="s">
        <v>66</v>
      </c>
    </row>
    <row r="91" spans="1:12" ht="26.25" customHeight="1" x14ac:dyDescent="0.4">
      <c r="A91" s="145" t="s">
        <v>67</v>
      </c>
      <c r="B91" s="146">
        <v>25</v>
      </c>
      <c r="C91" s="234">
        <v>1</v>
      </c>
      <c r="D91" s="153">
        <v>0.32</v>
      </c>
      <c r="E91" s="154">
        <f>IF(ISBLANK(D91),"-",$D$101/$D$98*D91)</f>
        <v>0.41517463282993411</v>
      </c>
      <c r="F91" s="153">
        <v>0.38400000000000001</v>
      </c>
      <c r="G91" s="155">
        <f>IF(ISBLANK(F91),"-",$D$101/$F$98*F91)</f>
        <v>0.42547533572663215</v>
      </c>
      <c r="I91" s="156"/>
    </row>
    <row r="92" spans="1:12" ht="26.25" customHeight="1" x14ac:dyDescent="0.4">
      <c r="A92" s="145" t="s">
        <v>68</v>
      </c>
      <c r="B92" s="146">
        <v>1</v>
      </c>
      <c r="C92" s="218">
        <v>2</v>
      </c>
      <c r="D92" s="158">
        <v>0.32400000000000001</v>
      </c>
      <c r="E92" s="159">
        <f>IF(ISBLANK(D92),"-",$D$101/$D$98*D92)</f>
        <v>0.4203643157403083</v>
      </c>
      <c r="F92" s="158">
        <v>0.38600000000000001</v>
      </c>
      <c r="G92" s="160">
        <f>IF(ISBLANK(F92),"-",$D$101/$F$98*F92)</f>
        <v>0.42769135310020834</v>
      </c>
      <c r="I92" s="328">
        <f>ABS((F96/D96*D95)-F95)/D95</f>
        <v>2.0804422251862385E-2</v>
      </c>
    </row>
    <row r="93" spans="1:12" ht="26.25" customHeight="1" x14ac:dyDescent="0.4">
      <c r="A93" s="145" t="s">
        <v>69</v>
      </c>
      <c r="B93" s="146">
        <v>1</v>
      </c>
      <c r="C93" s="218">
        <v>3</v>
      </c>
      <c r="D93" s="158">
        <v>0.32600000000000001</v>
      </c>
      <c r="E93" s="159">
        <f>IF(ISBLANK(D93),"-",$D$101/$D$98*D93)</f>
        <v>0.42295915719549537</v>
      </c>
      <c r="F93" s="158">
        <v>0.38600000000000001</v>
      </c>
      <c r="G93" s="160">
        <f>IF(ISBLANK(F93),"-",$D$101/$F$98*F93)</f>
        <v>0.42769135310020834</v>
      </c>
      <c r="I93" s="328"/>
    </row>
    <row r="94" spans="1:12" ht="27" customHeight="1" x14ac:dyDescent="0.4">
      <c r="A94" s="145" t="s">
        <v>70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71</v>
      </c>
      <c r="B95" s="146">
        <v>1</v>
      </c>
      <c r="C95" s="237" t="s">
        <v>72</v>
      </c>
      <c r="D95" s="238">
        <f>AVERAGE(D91:D94)</f>
        <v>0.32333333333333331</v>
      </c>
      <c r="E95" s="169">
        <f>AVERAGE(E91:E94)</f>
        <v>0.41949936858857928</v>
      </c>
      <c r="F95" s="239">
        <f>AVERAGE(F91:F94)</f>
        <v>0.38533333333333336</v>
      </c>
      <c r="G95" s="240">
        <f>AVERAGE(G91:G94)</f>
        <v>0.42695268064234959</v>
      </c>
    </row>
    <row r="96" spans="1:12" ht="26.25" customHeight="1" x14ac:dyDescent="0.4">
      <c r="A96" s="145" t="s">
        <v>73</v>
      </c>
      <c r="B96" s="131">
        <v>1</v>
      </c>
      <c r="C96" s="241" t="s">
        <v>114</v>
      </c>
      <c r="D96" s="242">
        <v>21.41</v>
      </c>
      <c r="E96" s="161"/>
      <c r="F96" s="173">
        <v>25.07</v>
      </c>
    </row>
    <row r="97" spans="1:10" ht="26.25" customHeight="1" x14ac:dyDescent="0.4">
      <c r="A97" s="145" t="s">
        <v>75</v>
      </c>
      <c r="B97" s="131">
        <v>1</v>
      </c>
      <c r="C97" s="243" t="s">
        <v>115</v>
      </c>
      <c r="D97" s="244">
        <f>D96*$B$87</f>
        <v>21.41</v>
      </c>
      <c r="E97" s="176"/>
      <c r="F97" s="175">
        <f>F96*$B$87</f>
        <v>25.07</v>
      </c>
    </row>
    <row r="98" spans="1:10" ht="19.5" customHeight="1" x14ac:dyDescent="0.3">
      <c r="A98" s="145" t="s">
        <v>77</v>
      </c>
      <c r="B98" s="245">
        <f>(B97/B96)*(B95/B94)*(B93/B92)*(B91/B90)*B89</f>
        <v>1250</v>
      </c>
      <c r="C98" s="243" t="s">
        <v>116</v>
      </c>
      <c r="D98" s="246">
        <f>D97*$B$83/100</f>
        <v>21.41</v>
      </c>
      <c r="E98" s="179"/>
      <c r="F98" s="178">
        <f>F97*$B$83/100</f>
        <v>25.07</v>
      </c>
    </row>
    <row r="99" spans="1:10" ht="19.5" customHeight="1" x14ac:dyDescent="0.3">
      <c r="A99" s="329" t="s">
        <v>79</v>
      </c>
      <c r="B99" s="343"/>
      <c r="C99" s="243" t="s">
        <v>117</v>
      </c>
      <c r="D99" s="247">
        <f>D98/$B$98</f>
        <v>1.7128000000000001E-2</v>
      </c>
      <c r="E99" s="179"/>
      <c r="F99" s="182">
        <f>F98/$B$98</f>
        <v>2.0056000000000001E-2</v>
      </c>
      <c r="G99" s="248"/>
      <c r="H99" s="171"/>
    </row>
    <row r="100" spans="1:10" ht="19.5" customHeight="1" x14ac:dyDescent="0.3">
      <c r="A100" s="331"/>
      <c r="B100" s="344"/>
      <c r="C100" s="243" t="s">
        <v>81</v>
      </c>
      <c r="D100" s="249">
        <f>$B$56/$B$116</f>
        <v>2.2222222222222223E-2</v>
      </c>
      <c r="F100" s="187"/>
      <c r="G100" s="250"/>
      <c r="H100" s="171"/>
    </row>
    <row r="101" spans="1:10" ht="18.75" x14ac:dyDescent="0.3">
      <c r="C101" s="243" t="s">
        <v>82</v>
      </c>
      <c r="D101" s="244">
        <f>D100*$B$98</f>
        <v>27.777777777777779</v>
      </c>
      <c r="F101" s="187"/>
      <c r="G101" s="248"/>
      <c r="H101" s="171"/>
    </row>
    <row r="102" spans="1:10" ht="19.5" customHeight="1" x14ac:dyDescent="0.3">
      <c r="C102" s="251" t="s">
        <v>83</v>
      </c>
      <c r="D102" s="252">
        <f>D101/B34</f>
        <v>27.777777777777779</v>
      </c>
      <c r="F102" s="191"/>
      <c r="G102" s="248"/>
      <c r="H102" s="171"/>
      <c r="J102" s="253"/>
    </row>
    <row r="103" spans="1:10" ht="18.75" x14ac:dyDescent="0.3">
      <c r="C103" s="254" t="s">
        <v>118</v>
      </c>
      <c r="D103" s="255">
        <f>AVERAGE(E91:E94,G91:G94)</f>
        <v>0.42322602461546444</v>
      </c>
      <c r="F103" s="191"/>
      <c r="G103" s="256"/>
      <c r="H103" s="171"/>
      <c r="J103" s="257"/>
    </row>
    <row r="104" spans="1:10" ht="18.75" x14ac:dyDescent="0.3">
      <c r="C104" s="221" t="s">
        <v>85</v>
      </c>
      <c r="D104" s="258">
        <f>STDEV(E91:E94,G91:G94)/D103</f>
        <v>1.1479589752918516E-2</v>
      </c>
      <c r="F104" s="191"/>
      <c r="G104" s="248"/>
      <c r="H104" s="171"/>
      <c r="J104" s="257"/>
    </row>
    <row r="105" spans="1:10" ht="19.5" customHeight="1" x14ac:dyDescent="0.3">
      <c r="C105" s="223" t="s">
        <v>19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119</v>
      </c>
      <c r="B107" s="144">
        <v>900</v>
      </c>
      <c r="C107" s="260" t="s">
        <v>38</v>
      </c>
      <c r="D107" s="261" t="s">
        <v>64</v>
      </c>
      <c r="E107" s="262" t="s">
        <v>120</v>
      </c>
      <c r="F107" s="263" t="s">
        <v>121</v>
      </c>
    </row>
    <row r="108" spans="1:10" ht="26.25" customHeight="1" x14ac:dyDescent="0.4">
      <c r="A108" s="145" t="s">
        <v>122</v>
      </c>
      <c r="B108" s="146">
        <v>2</v>
      </c>
      <c r="C108" s="264">
        <v>1</v>
      </c>
      <c r="D108" s="265">
        <v>0.38800000000000001</v>
      </c>
      <c r="E108" s="296">
        <f t="shared" ref="E108:E113" si="1">IF(ISBLANK(D108),"-",D108/$D$103*$D$100*$B$116)</f>
        <v>229.19195502718071</v>
      </c>
      <c r="F108" s="266">
        <f t="shared" ref="F108:F113" si="2">IF(ISBLANK(D108), "-", E108/$B$56)</f>
        <v>0.91676782010872282</v>
      </c>
    </row>
    <row r="109" spans="1:10" ht="26.25" customHeight="1" x14ac:dyDescent="0.4">
      <c r="A109" s="145" t="s">
        <v>96</v>
      </c>
      <c r="B109" s="146">
        <v>25</v>
      </c>
      <c r="C109" s="264">
        <v>2</v>
      </c>
      <c r="D109" s="265">
        <v>0.40600000000000003</v>
      </c>
      <c r="E109" s="297">
        <f t="shared" si="1"/>
        <v>239.82457149751386</v>
      </c>
      <c r="F109" s="267">
        <f t="shared" si="2"/>
        <v>0.9592982859900554</v>
      </c>
    </row>
    <row r="110" spans="1:10" ht="26.25" customHeight="1" x14ac:dyDescent="0.4">
      <c r="A110" s="145" t="s">
        <v>97</v>
      </c>
      <c r="B110" s="146">
        <v>1</v>
      </c>
      <c r="C110" s="264">
        <v>3</v>
      </c>
      <c r="D110" s="265">
        <v>0.40500000000000003</v>
      </c>
      <c r="E110" s="297">
        <f t="shared" si="1"/>
        <v>239.23387058249537</v>
      </c>
      <c r="F110" s="267">
        <f t="shared" si="2"/>
        <v>0.95693548232998149</v>
      </c>
    </row>
    <row r="111" spans="1:10" ht="26.25" customHeight="1" x14ac:dyDescent="0.4">
      <c r="A111" s="145" t="s">
        <v>98</v>
      </c>
      <c r="B111" s="146">
        <v>1</v>
      </c>
      <c r="C111" s="264">
        <v>4</v>
      </c>
      <c r="D111" s="265">
        <v>0.40400000000000003</v>
      </c>
      <c r="E111" s="297">
        <f t="shared" si="1"/>
        <v>238.64316966747683</v>
      </c>
      <c r="F111" s="267">
        <f t="shared" si="2"/>
        <v>0.95457267866990736</v>
      </c>
    </row>
    <row r="112" spans="1:10" ht="26.25" customHeight="1" x14ac:dyDescent="0.4">
      <c r="A112" s="145" t="s">
        <v>99</v>
      </c>
      <c r="B112" s="146">
        <v>1</v>
      </c>
      <c r="C112" s="264">
        <v>5</v>
      </c>
      <c r="D112" s="265">
        <v>0.41799999999999998</v>
      </c>
      <c r="E112" s="297">
        <f t="shared" si="1"/>
        <v>246.91298247773594</v>
      </c>
      <c r="F112" s="267">
        <f t="shared" si="2"/>
        <v>0.98765192991094375</v>
      </c>
    </row>
    <row r="113" spans="1:10" ht="26.25" customHeight="1" x14ac:dyDescent="0.4">
      <c r="A113" s="145" t="s">
        <v>101</v>
      </c>
      <c r="B113" s="146">
        <v>1</v>
      </c>
      <c r="C113" s="268">
        <v>6</v>
      </c>
      <c r="D113" s="269">
        <v>0.40799999999999997</v>
      </c>
      <c r="E113" s="298">
        <f t="shared" si="1"/>
        <v>241.00597332755086</v>
      </c>
      <c r="F113" s="270">
        <f t="shared" si="2"/>
        <v>0.96402389331020344</v>
      </c>
    </row>
    <row r="114" spans="1:10" ht="26.25" customHeight="1" x14ac:dyDescent="0.4">
      <c r="A114" s="145" t="s">
        <v>102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103</v>
      </c>
      <c r="B115" s="146">
        <v>1</v>
      </c>
      <c r="C115" s="264"/>
      <c r="D115" s="272" t="s">
        <v>72</v>
      </c>
      <c r="E115" s="300">
        <f>AVERAGE(E108:E113)</f>
        <v>239.13542042999225</v>
      </c>
      <c r="F115" s="273">
        <f>AVERAGE(F108:F113)</f>
        <v>0.95654168171996901</v>
      </c>
    </row>
    <row r="116" spans="1:10" ht="27" customHeight="1" x14ac:dyDescent="0.4">
      <c r="A116" s="145" t="s">
        <v>104</v>
      </c>
      <c r="B116" s="177">
        <f>(B115/B114)*(B113/B112)*(B111/B110)*(B109/B108)*B107</f>
        <v>11250</v>
      </c>
      <c r="C116" s="274"/>
      <c r="D116" s="237" t="s">
        <v>85</v>
      </c>
      <c r="E116" s="275">
        <f>STDEV(E108:E113)/E115</f>
        <v>2.3919272927713682E-2</v>
      </c>
      <c r="F116" s="275">
        <f>STDEV(F108:F113)/F115</f>
        <v>2.3919272927713689E-2</v>
      </c>
      <c r="I116" s="119"/>
    </row>
    <row r="117" spans="1:10" ht="27" customHeight="1" x14ac:dyDescent="0.4">
      <c r="A117" s="329" t="s">
        <v>79</v>
      </c>
      <c r="B117" s="330"/>
      <c r="C117" s="276"/>
      <c r="D117" s="277" t="s">
        <v>19</v>
      </c>
      <c r="E117" s="278">
        <f>COUNT(E108:E113)</f>
        <v>6</v>
      </c>
      <c r="F117" s="278">
        <f>COUNT(F108:F113)</f>
        <v>6</v>
      </c>
      <c r="I117" s="119"/>
      <c r="J117" s="257"/>
    </row>
    <row r="118" spans="1:10" ht="19.5" customHeight="1" x14ac:dyDescent="0.3">
      <c r="A118" s="331"/>
      <c r="B118" s="332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7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107</v>
      </c>
      <c r="B120" s="225" t="s">
        <v>123</v>
      </c>
      <c r="C120" s="341" t="str">
        <f>B20</f>
        <v xml:space="preserve">Chloramphenicol </v>
      </c>
      <c r="D120" s="341"/>
      <c r="E120" s="226" t="s">
        <v>124</v>
      </c>
      <c r="F120" s="226"/>
      <c r="G120" s="227">
        <f>F115</f>
        <v>0.95654168171996901</v>
      </c>
      <c r="H120" s="119"/>
      <c r="I120" s="119"/>
    </row>
    <row r="121" spans="1:10" ht="19.5" customHeight="1" x14ac:dyDescent="0.3">
      <c r="A121" s="279"/>
      <c r="B121" s="279"/>
      <c r="C121" s="280"/>
      <c r="D121" s="280"/>
      <c r="E121" s="280"/>
      <c r="F121" s="280"/>
      <c r="G121" s="280"/>
      <c r="H121" s="280"/>
    </row>
    <row r="122" spans="1:10" ht="18.75" x14ac:dyDescent="0.3">
      <c r="B122" s="342" t="s">
        <v>23</v>
      </c>
      <c r="C122" s="342"/>
      <c r="E122" s="232" t="s">
        <v>24</v>
      </c>
      <c r="F122" s="281"/>
      <c r="G122" s="342" t="s">
        <v>25</v>
      </c>
      <c r="H122" s="342"/>
    </row>
    <row r="123" spans="1:10" ht="69.95" customHeight="1" x14ac:dyDescent="0.3">
      <c r="A123" s="282" t="s">
        <v>26</v>
      </c>
      <c r="B123" s="283"/>
      <c r="C123" s="283"/>
      <c r="E123" s="283"/>
      <c r="F123" s="119"/>
      <c r="G123" s="284"/>
      <c r="H123" s="284"/>
    </row>
    <row r="124" spans="1:10" ht="69.95" customHeight="1" x14ac:dyDescent="0.3">
      <c r="A124" s="282" t="s">
        <v>27</v>
      </c>
      <c r="B124" s="285"/>
      <c r="C124" s="285"/>
      <c r="E124" s="285"/>
      <c r="F124" s="119"/>
      <c r="G124" s="286"/>
      <c r="H124" s="286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Chloramphenicol</vt:lpstr>
      <vt:lpstr>Chloramphenicol!Print_Area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2016-07-15T08:50:29Z</cp:lastPrinted>
  <dcterms:created xsi:type="dcterms:W3CDTF">2005-07-05T10:19:27Z</dcterms:created>
  <dcterms:modified xsi:type="dcterms:W3CDTF">2016-10-11T08:35:52Z</dcterms:modified>
</cp:coreProperties>
</file>