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Fluconazole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42" i="1" l="1"/>
  <c r="E35" i="4"/>
  <c r="H21" i="4"/>
  <c r="J34" i="4"/>
  <c r="K27" i="4"/>
  <c r="K23" i="4"/>
  <c r="G25" i="4"/>
  <c r="G29" i="4"/>
  <c r="B57" i="3"/>
  <c r="H33" i="4"/>
  <c r="B21" i="1"/>
  <c r="B20" i="1"/>
  <c r="F31" i="4"/>
  <c r="C120" i="3"/>
  <c r="B116" i="3"/>
  <c r="D100" i="3"/>
  <c r="B98" i="3"/>
  <c r="F97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3" i="2"/>
  <c r="B43" i="2"/>
  <c r="C42" i="2"/>
  <c r="B42" i="2"/>
  <c r="D40" i="2"/>
  <c r="D39" i="2"/>
  <c r="E39" i="2" s="1"/>
  <c r="D38" i="2"/>
  <c r="E38" i="2" s="1"/>
  <c r="D37" i="2"/>
  <c r="D36" i="2"/>
  <c r="D35" i="2"/>
  <c r="E35" i="2" s="1"/>
  <c r="D34" i="2"/>
  <c r="E34" i="2" s="1"/>
  <c r="D33" i="2"/>
  <c r="D32" i="2"/>
  <c r="D31" i="2"/>
  <c r="E31" i="2" s="1"/>
  <c r="D30" i="2"/>
  <c r="E30" i="2" s="1"/>
  <c r="D29" i="2"/>
  <c r="D28" i="2"/>
  <c r="D27" i="2"/>
  <c r="E27" i="2" s="1"/>
  <c r="D26" i="2"/>
  <c r="E26" i="2" s="1"/>
  <c r="D25" i="2"/>
  <c r="D24" i="2"/>
  <c r="D23" i="2"/>
  <c r="E23" i="2" s="1"/>
  <c r="D22" i="2"/>
  <c r="D42" i="2" s="1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B69" i="3"/>
  <c r="I39" i="3"/>
  <c r="F98" i="3"/>
  <c r="F99" i="3" s="1"/>
  <c r="D98" i="3"/>
  <c r="D99" i="3" s="1"/>
  <c r="D45" i="3"/>
  <c r="D46" i="3" s="1"/>
  <c r="F45" i="3"/>
  <c r="F46" i="3" s="1"/>
  <c r="G41" i="3"/>
  <c r="G38" i="3"/>
  <c r="G39" i="3"/>
  <c r="G40" i="3"/>
  <c r="D49" i="3"/>
  <c r="E24" i="2"/>
  <c r="E28" i="2"/>
  <c r="E32" i="2"/>
  <c r="E36" i="2"/>
  <c r="E40" i="2"/>
  <c r="G93" i="3"/>
  <c r="D48" i="2"/>
  <c r="C48" i="2"/>
  <c r="D47" i="2"/>
  <c r="C47" i="2"/>
  <c r="B47" i="2"/>
  <c r="E25" i="2"/>
  <c r="E29" i="2"/>
  <c r="E33" i="2"/>
  <c r="E37" i="2"/>
  <c r="E22" i="2"/>
  <c r="E21" i="2"/>
  <c r="G91" i="3" l="1"/>
  <c r="G92" i="3"/>
  <c r="G94" i="3"/>
  <c r="E41" i="3"/>
  <c r="E39" i="3"/>
  <c r="G42" i="3"/>
  <c r="E94" i="3"/>
  <c r="E93" i="3"/>
  <c r="E40" i="3"/>
  <c r="E38" i="3"/>
  <c r="E91" i="3"/>
  <c r="E92" i="3"/>
  <c r="D103" i="3" l="1"/>
  <c r="E112" i="3" s="1"/>
  <c r="F112" i="3" s="1"/>
  <c r="G95" i="3"/>
  <c r="E95" i="3"/>
  <c r="E42" i="3"/>
  <c r="D52" i="3"/>
  <c r="D105" i="3"/>
  <c r="D50" i="3"/>
  <c r="G71" i="3" s="1"/>
  <c r="H71" i="3" s="1"/>
  <c r="E109" i="3" l="1"/>
  <c r="F109" i="3" s="1"/>
  <c r="E113" i="3"/>
  <c r="F113" i="3" s="1"/>
  <c r="E108" i="3"/>
  <c r="F108" i="3" s="1"/>
  <c r="D104" i="3"/>
  <c r="E110" i="3"/>
  <c r="F110" i="3" s="1"/>
  <c r="E111" i="3"/>
  <c r="F111" i="3" s="1"/>
  <c r="G61" i="3"/>
  <c r="H61" i="3" s="1"/>
  <c r="G68" i="3"/>
  <c r="H68" i="3" s="1"/>
  <c r="G63" i="3"/>
  <c r="H63" i="3" s="1"/>
  <c r="G70" i="3"/>
  <c r="H70" i="3" s="1"/>
  <c r="G64" i="3"/>
  <c r="H64" i="3" s="1"/>
  <c r="G65" i="3"/>
  <c r="H65" i="3" s="1"/>
  <c r="G60" i="3"/>
  <c r="H60" i="3" s="1"/>
  <c r="G69" i="3"/>
  <c r="H69" i="3" s="1"/>
  <c r="D51" i="3"/>
  <c r="G66" i="3"/>
  <c r="H66" i="3" s="1"/>
  <c r="G67" i="3"/>
  <c r="H67" i="3" s="1"/>
  <c r="G62" i="3"/>
  <c r="H62" i="3" s="1"/>
  <c r="E117" i="3" l="1"/>
  <c r="E115" i="3"/>
  <c r="E116" i="3" s="1"/>
  <c r="G72" i="3"/>
  <c r="G73" i="3" s="1"/>
  <c r="G74" i="3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<sst xmlns="http://schemas.openxmlformats.org/spreadsheetml/2006/main" count="238" uniqueCount="129">
  <si>
    <t>HPLC System Suitability Report</t>
  </si>
  <si>
    <t>Analysis Data</t>
  </si>
  <si>
    <t>Assay</t>
  </si>
  <si>
    <t>Sample(s)</t>
  </si>
  <si>
    <t>Reference Substance:</t>
  </si>
  <si>
    <t>ORAMAX 150 CAPSULES</t>
  </si>
  <si>
    <t>% age Purity:</t>
  </si>
  <si>
    <t>NDQD2016061201</t>
  </si>
  <si>
    <t>Weight (mg):</t>
  </si>
  <si>
    <t>Fluconazole</t>
  </si>
  <si>
    <t>Standard Conc (mg/mL):</t>
  </si>
  <si>
    <t>Each capsules contains fluconazole 150 mg</t>
  </si>
  <si>
    <t>2016-06-23 13:15:58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</si>
  <si>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</si>
  <si>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</si>
  <si>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</si>
  <si>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</si>
  <si>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</si>
  <si>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</si>
  <si>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</si>
  <si>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</si>
  <si>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</si>
  <si>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</si>
  <si>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</si>
  <si>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</si>
  <si>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</si>
  <si>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</si>
  <si>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</si>
  <si>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</si>
  <si>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</si>
  <si>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</si>
  <si>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</si>
  <si>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</si>
  <si>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</si>
  <si>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</si>
  <si>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</si>
  <si>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</si>
  <si>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</si>
  <si>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</si>
  <si>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2016-06-24 16:37:27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</si>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</sst>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53" sqref="B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99.89</v>
      </c>
      <c r="C19" s="10"/>
      <c r="D19" s="10"/>
      <c r="E19" s="10"/>
    </row>
    <row r="20" spans="1:6" ht="16.5" customHeight="1" x14ac:dyDescent="0.3">
      <c r="A20" s="7" t="s">
        <v>8</v>
      </c>
      <c r="B20" s="12">
        <f>21.79</f>
        <v>21.79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0.43579999999999997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8248965</v>
      </c>
      <c r="C24" s="18">
        <v>7695.3</v>
      </c>
      <c r="D24" s="19">
        <v>1.1599999999999999</v>
      </c>
      <c r="E24" s="20">
        <v>4.74</v>
      </c>
    </row>
    <row r="25" spans="1:6" ht="16.5" customHeight="1" x14ac:dyDescent="0.3">
      <c r="A25" s="17">
        <v>2</v>
      </c>
      <c r="B25" s="18">
        <v>8273468</v>
      </c>
      <c r="C25" s="18">
        <v>7746.21</v>
      </c>
      <c r="D25" s="19">
        <v>1.1100000000000001</v>
      </c>
      <c r="E25" s="19">
        <v>4.74</v>
      </c>
    </row>
    <row r="26" spans="1:6" ht="16.5" customHeight="1" x14ac:dyDescent="0.3">
      <c r="A26" s="17">
        <v>3</v>
      </c>
      <c r="B26" s="18">
        <v>8246935</v>
      </c>
      <c r="C26" s="18">
        <v>7647.76</v>
      </c>
      <c r="D26" s="19">
        <v>1.1399999999999999</v>
      </c>
      <c r="E26" s="19">
        <v>4.74</v>
      </c>
    </row>
    <row r="27" spans="1:6" ht="16.5" customHeight="1" x14ac:dyDescent="0.3">
      <c r="A27" s="17">
        <v>4</v>
      </c>
      <c r="B27" s="18">
        <v>8253705</v>
      </c>
      <c r="C27" s="18">
        <v>7707.71</v>
      </c>
      <c r="D27" s="19">
        <v>1.1499999999999999</v>
      </c>
      <c r="E27" s="19">
        <v>4.74</v>
      </c>
    </row>
    <row r="28" spans="1:6" ht="16.5" customHeight="1" x14ac:dyDescent="0.3">
      <c r="A28" s="17">
        <v>5</v>
      </c>
      <c r="B28" s="18">
        <v>8244893</v>
      </c>
      <c r="C28" s="18">
        <v>7644.71</v>
      </c>
      <c r="D28" s="19">
        <v>1.1200000000000001</v>
      </c>
      <c r="E28" s="19">
        <v>4.74</v>
      </c>
    </row>
    <row r="29" spans="1:6" ht="16.5" customHeight="1" x14ac:dyDescent="0.3">
      <c r="A29" s="17">
        <v>6</v>
      </c>
      <c r="B29" s="21">
        <v>8238555</v>
      </c>
      <c r="C29" s="21">
        <v>7564.43</v>
      </c>
      <c r="D29" s="22">
        <v>1.1599999999999999</v>
      </c>
      <c r="E29" s="22">
        <v>4.74</v>
      </c>
    </row>
    <row r="30" spans="1:6" ht="16.5" customHeight="1" x14ac:dyDescent="0.3">
      <c r="A30" s="23" t="s">
        <v>18</v>
      </c>
      <c r="B30" s="24">
        <f>AVERAGE(B24:B29)</f>
        <v>8251086.833333333</v>
      </c>
      <c r="C30" s="25">
        <f>AVERAGE(C24:C29)</f>
        <v>7667.6866666666674</v>
      </c>
      <c r="D30" s="26">
        <f>AVERAGE(D24:D29)</f>
        <v>1.1400000000000001</v>
      </c>
      <c r="E30" s="26">
        <f>AVERAGE(E24:E29)</f>
        <v>4.7400000000000011</v>
      </c>
    </row>
    <row r="31" spans="1:6" ht="16.5" customHeight="1" x14ac:dyDescent="0.3">
      <c r="A31" s="27" t="s">
        <v>19</v>
      </c>
      <c r="B31" s="28">
        <f>(STDEV(B24:B29)/B30)</f>
        <v>1.4593161884037251E-3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99.89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21.79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B41/50*10/25</f>
        <v>0.17431999999999997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8248965</v>
      </c>
      <c r="C45" s="18">
        <v>7695.3</v>
      </c>
      <c r="D45" s="19">
        <v>1.1599999999999999</v>
      </c>
      <c r="E45" s="20">
        <v>4.74</v>
      </c>
    </row>
    <row r="46" spans="1:6" ht="16.5" customHeight="1" x14ac:dyDescent="0.3">
      <c r="A46" s="17">
        <v>2</v>
      </c>
      <c r="B46" s="18">
        <v>8273468</v>
      </c>
      <c r="C46" s="18">
        <v>7746.21</v>
      </c>
      <c r="D46" s="19">
        <v>1.1100000000000001</v>
      </c>
      <c r="E46" s="19">
        <v>4.74</v>
      </c>
    </row>
    <row r="47" spans="1:6" ht="16.5" customHeight="1" x14ac:dyDescent="0.3">
      <c r="A47" s="17">
        <v>3</v>
      </c>
      <c r="B47" s="18">
        <v>8246935</v>
      </c>
      <c r="C47" s="18">
        <v>7647.76</v>
      </c>
      <c r="D47" s="19">
        <v>1.1399999999999999</v>
      </c>
      <c r="E47" s="19">
        <v>4.74</v>
      </c>
    </row>
    <row r="48" spans="1:6" ht="16.5" customHeight="1" x14ac:dyDescent="0.3">
      <c r="A48" s="17">
        <v>4</v>
      </c>
      <c r="B48" s="18">
        <v>8253705</v>
      </c>
      <c r="C48" s="18">
        <v>7707.71</v>
      </c>
      <c r="D48" s="19">
        <v>1.1499999999999999</v>
      </c>
      <c r="E48" s="19">
        <v>4.74</v>
      </c>
    </row>
    <row r="49" spans="1:7" ht="16.5" customHeight="1" x14ac:dyDescent="0.3">
      <c r="A49" s="17">
        <v>5</v>
      </c>
      <c r="B49" s="18">
        <v>8244893</v>
      </c>
      <c r="C49" s="18">
        <v>7644.71</v>
      </c>
      <c r="D49" s="19">
        <v>1.1200000000000001</v>
      </c>
      <c r="E49" s="19">
        <v>4.74</v>
      </c>
    </row>
    <row r="50" spans="1:7" ht="16.5" customHeight="1" x14ac:dyDescent="0.3">
      <c r="A50" s="17">
        <v>6</v>
      </c>
      <c r="B50" s="21">
        <v>8238555</v>
      </c>
      <c r="C50" s="21">
        <v>7564.43</v>
      </c>
      <c r="D50" s="22">
        <v>1.1599999999999999</v>
      </c>
      <c r="E50" s="22">
        <v>4.74</v>
      </c>
    </row>
    <row r="51" spans="1:7" ht="16.5" customHeight="1" x14ac:dyDescent="0.3">
      <c r="A51" s="23" t="s">
        <v>18</v>
      </c>
      <c r="B51" s="24">
        <f>AVERAGE(B45:B50)</f>
        <v>8251086.833333333</v>
      </c>
      <c r="C51" s="25">
        <f>AVERAGE(C45:C50)</f>
        <v>7667.6866666666674</v>
      </c>
      <c r="D51" s="26">
        <f>AVERAGE(D45:D50)</f>
        <v>1.1400000000000001</v>
      </c>
      <c r="E51" s="26">
        <f>AVERAGE(E45:E50)</f>
        <v>4.7400000000000011</v>
      </c>
    </row>
    <row r="52" spans="1:7" ht="16.5" customHeight="1" x14ac:dyDescent="0.3">
      <c r="A52" s="27" t="s">
        <v>19</v>
      </c>
      <c r="B52" s="28">
        <f>(STDEV(B45:B50)/B51)</f>
        <v>1.4593161884037251E-3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26</v>
      </c>
      <c r="C59" s="30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4" workbookViewId="0">
      <selection activeCell="H50" sqref="H5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7.85546875" style="22" customWidth="1"/>
    <col min="6" max="6" width="6.42578125" style="1" hidden="1" customWidth="1"/>
    <col min="7" max="7" width="0.140625" style="1" customWidth="1"/>
    <col min="8" max="8" width="19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9" t="s">
        <v>31</v>
      </c>
      <c r="B8" s="309"/>
      <c r="C8" s="309"/>
      <c r="D8" s="309"/>
      <c r="E8" s="309"/>
      <c r="F8" s="309"/>
      <c r="G8" s="30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0" t="s">
        <v>32</v>
      </c>
      <c r="B10" s="310"/>
      <c r="C10" s="310"/>
      <c r="D10" s="310"/>
      <c r="E10" s="310"/>
      <c r="F10" s="310"/>
      <c r="G10" s="31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33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34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35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36</v>
      </c>
      <c r="B14" s="304"/>
      <c r="C14" s="308" t="s">
        <v>11</v>
      </c>
      <c r="D14" s="308"/>
      <c r="E14" s="308"/>
      <c r="F14" s="308"/>
      <c r="G14" s="30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37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38</v>
      </c>
      <c r="B16" s="304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427.63</v>
      </c>
      <c r="C21" s="83">
        <v>74.94</v>
      </c>
      <c r="D21" s="84">
        <f t="shared" ref="D21:D40" si="0">B21-C21</f>
        <v>352.69</v>
      </c>
      <c r="E21" s="85">
        <f t="shared" ref="E21:E40" si="1">(D21-$D$43)/$D$43</f>
        <v>2.2848715892596481E-2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425.56</v>
      </c>
      <c r="C22" s="88">
        <v>80.2</v>
      </c>
      <c r="D22" s="89">
        <f t="shared" si="0"/>
        <v>345.36</v>
      </c>
      <c r="E22" s="85">
        <f t="shared" si="1"/>
        <v>1.5907242072844057E-3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421.2</v>
      </c>
      <c r="C23" s="88">
        <v>79.05</v>
      </c>
      <c r="D23" s="89">
        <f t="shared" si="0"/>
        <v>342.15</v>
      </c>
      <c r="E23" s="85">
        <f t="shared" si="1"/>
        <v>-7.7187100778251007E-3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427.42</v>
      </c>
      <c r="C24" s="88">
        <v>79.47</v>
      </c>
      <c r="D24" s="89">
        <f t="shared" si="0"/>
        <v>347.95000000000005</v>
      </c>
      <c r="E24" s="85">
        <f t="shared" si="1"/>
        <v>9.1020746117808689E-3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424.75</v>
      </c>
      <c r="C25" s="88">
        <v>78</v>
      </c>
      <c r="D25" s="89">
        <f t="shared" si="0"/>
        <v>346.75</v>
      </c>
      <c r="E25" s="85">
        <f t="shared" si="1"/>
        <v>5.621912262207129E-3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432.53</v>
      </c>
      <c r="C26" s="88">
        <v>79.59</v>
      </c>
      <c r="D26" s="89">
        <f t="shared" si="0"/>
        <v>352.93999999999994</v>
      </c>
      <c r="E26" s="85">
        <f t="shared" si="1"/>
        <v>2.3573749715424152E-2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418.93</v>
      </c>
      <c r="C27" s="88">
        <v>78.290000000000006</v>
      </c>
      <c r="D27" s="89">
        <f t="shared" si="0"/>
        <v>340.64</v>
      </c>
      <c r="E27" s="85">
        <f t="shared" si="1"/>
        <v>-1.2097914367705197E-2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426.88</v>
      </c>
      <c r="C28" s="88">
        <v>75.38</v>
      </c>
      <c r="D28" s="89">
        <f t="shared" si="0"/>
        <v>351.5</v>
      </c>
      <c r="E28" s="85">
        <f t="shared" si="1"/>
        <v>1.9397554895935993E-2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434.86</v>
      </c>
      <c r="C29" s="88">
        <v>77.53</v>
      </c>
      <c r="D29" s="89">
        <f t="shared" si="0"/>
        <v>357.33000000000004</v>
      </c>
      <c r="E29" s="85">
        <f t="shared" si="1"/>
        <v>3.6305343644281222E-2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428.67</v>
      </c>
      <c r="C30" s="88">
        <v>79.63</v>
      </c>
      <c r="D30" s="89">
        <f t="shared" si="0"/>
        <v>349.04</v>
      </c>
      <c r="E30" s="85">
        <f t="shared" si="1"/>
        <v>1.2263222079310156E-2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431.71</v>
      </c>
      <c r="C31" s="88">
        <v>77.790000000000006</v>
      </c>
      <c r="D31" s="89">
        <f t="shared" si="0"/>
        <v>353.91999999999996</v>
      </c>
      <c r="E31" s="85">
        <f t="shared" si="1"/>
        <v>2.6415882300909316E-2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398.16</v>
      </c>
      <c r="C32" s="88">
        <v>79.95</v>
      </c>
      <c r="D32" s="89">
        <f t="shared" si="0"/>
        <v>318.21000000000004</v>
      </c>
      <c r="E32" s="85">
        <f t="shared" si="1"/>
        <v>-7.714794895181841E-2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407.75</v>
      </c>
      <c r="C33" s="88">
        <v>77.87</v>
      </c>
      <c r="D33" s="89">
        <f t="shared" si="0"/>
        <v>329.88</v>
      </c>
      <c r="E33" s="85">
        <f t="shared" si="1"/>
        <v>-4.3303370102215188E-2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433.76</v>
      </c>
      <c r="C34" s="88">
        <v>79.77</v>
      </c>
      <c r="D34" s="89">
        <f t="shared" si="0"/>
        <v>353.99</v>
      </c>
      <c r="E34" s="85">
        <f t="shared" si="1"/>
        <v>2.6618891771301258E-2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419.18</v>
      </c>
      <c r="C35" s="88">
        <v>74.94</v>
      </c>
      <c r="D35" s="89">
        <f t="shared" si="0"/>
        <v>344.24</v>
      </c>
      <c r="E35" s="85">
        <f t="shared" si="1"/>
        <v>-1.6574273189843081E-3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411.35</v>
      </c>
      <c r="C36" s="88">
        <v>75.22</v>
      </c>
      <c r="D36" s="89">
        <f t="shared" si="0"/>
        <v>336.13</v>
      </c>
      <c r="E36" s="85">
        <f t="shared" si="1"/>
        <v>-2.5177524531519314E-2</v>
      </c>
      <c r="G36" s="66"/>
      <c r="H36" s="66"/>
    </row>
    <row r="37" spans="1:15" ht="15" x14ac:dyDescent="0.3">
      <c r="A37" s="86">
        <v>17</v>
      </c>
      <c r="B37" s="90">
        <v>431.72</v>
      </c>
      <c r="C37" s="88">
        <v>81.3</v>
      </c>
      <c r="D37" s="89">
        <f t="shared" si="0"/>
        <v>350.42</v>
      </c>
      <c r="E37" s="85">
        <f t="shared" si="1"/>
        <v>1.6265408781319792E-2</v>
      </c>
    </row>
    <row r="38" spans="1:15" ht="15" x14ac:dyDescent="0.3">
      <c r="A38" s="86">
        <v>18</v>
      </c>
      <c r="B38" s="90">
        <v>418.36</v>
      </c>
      <c r="C38" s="88">
        <v>79.02</v>
      </c>
      <c r="D38" s="89">
        <f t="shared" si="0"/>
        <v>339.34000000000003</v>
      </c>
      <c r="E38" s="85">
        <f t="shared" si="1"/>
        <v>-1.5868090246409807E-2</v>
      </c>
    </row>
    <row r="39" spans="1:15" ht="15" x14ac:dyDescent="0.3">
      <c r="A39" s="86">
        <v>19</v>
      </c>
      <c r="B39" s="90">
        <v>429.33</v>
      </c>
      <c r="C39" s="88">
        <v>82</v>
      </c>
      <c r="D39" s="89">
        <f t="shared" si="0"/>
        <v>347.33</v>
      </c>
      <c r="E39" s="85">
        <f t="shared" si="1"/>
        <v>7.3039907311676601E-3</v>
      </c>
    </row>
    <row r="40" spans="1:15" ht="14.25" customHeight="1" x14ac:dyDescent="0.3">
      <c r="A40" s="91">
        <v>20</v>
      </c>
      <c r="B40" s="92">
        <v>415.24</v>
      </c>
      <c r="C40" s="93">
        <v>78.819999999999993</v>
      </c>
      <c r="D40" s="94">
        <f t="shared" si="0"/>
        <v>336.42</v>
      </c>
      <c r="E40" s="95">
        <f t="shared" si="1"/>
        <v>-2.4336485297038968E-2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8464.9900000000016</v>
      </c>
      <c r="C42" s="98">
        <f>SUM(C21:C40)</f>
        <v>1568.76</v>
      </c>
      <c r="D42" s="99">
        <f>SUM(D21:D40)</f>
        <v>6896.23</v>
      </c>
    </row>
    <row r="43" spans="1:15" ht="15.75" customHeight="1" x14ac:dyDescent="0.3">
      <c r="A43" s="100" t="s">
        <v>47</v>
      </c>
      <c r="B43" s="101">
        <f>AVERAGE(B21:B40)</f>
        <v>423.24950000000007</v>
      </c>
      <c r="C43" s="102">
        <f>AVERAGE(C21:C40)</f>
        <v>78.438000000000002</v>
      </c>
      <c r="D43" s="103">
        <f>AVERAGE(D21:D40)</f>
        <v>344.81149999999997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6">
        <f>D43</f>
        <v>344.81149999999997</v>
      </c>
      <c r="C47" s="107">
        <f>-(IF(D43&gt;300, 7.5%, 10%))</f>
        <v>-7.4999999999999997E-2</v>
      </c>
      <c r="D47" s="108">
        <f>IF(D43&lt;300, D43*0.9, D43*0.925)</f>
        <v>318.95063749999997</v>
      </c>
    </row>
    <row r="48" spans="1:15" ht="15.75" customHeight="1" x14ac:dyDescent="0.3">
      <c r="B48" s="307"/>
      <c r="C48" s="109">
        <f>+(IF(D43&gt;300, 7.5%, 10%))</f>
        <v>7.4999999999999997E-2</v>
      </c>
      <c r="D48" s="108">
        <f>IF(D43&lt;300, D43*1.1, D43*1.075)</f>
        <v>370.67236249999996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26</v>
      </c>
      <c r="C50" s="30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4" zoomScale="50" zoomScaleNormal="40" zoomScalePageLayoutView="50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49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50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9"/>
    </row>
    <row r="16" spans="1:9" ht="19.5" customHeight="1" x14ac:dyDescent="0.3">
      <c r="A16" s="312" t="s">
        <v>31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51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1" t="s">
        <v>33</v>
      </c>
      <c r="B18" s="311" t="s">
        <v>5</v>
      </c>
      <c r="C18" s="311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6" t="s">
        <v>9</v>
      </c>
      <c r="C20" s="316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6" t="s">
        <v>11</v>
      </c>
      <c r="C21" s="316"/>
      <c r="D21" s="316"/>
      <c r="E21" s="316"/>
      <c r="F21" s="316"/>
      <c r="G21" s="316"/>
      <c r="H21" s="316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42545.552766203706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1" t="s">
        <v>9</v>
      </c>
      <c r="C26" s="311"/>
    </row>
    <row r="27" spans="1:14" ht="26.25" customHeight="1" x14ac:dyDescent="0.4">
      <c r="A27" s="130" t="s">
        <v>52</v>
      </c>
      <c r="B27" s="317" t="s">
        <v>128</v>
      </c>
      <c r="C27" s="317"/>
    </row>
    <row r="28" spans="1:14" ht="27" customHeight="1" x14ac:dyDescent="0.4">
      <c r="A28" s="130" t="s">
        <v>6</v>
      </c>
      <c r="B28" s="131">
        <v>99.89</v>
      </c>
    </row>
    <row r="29" spans="1:14" s="14" customFormat="1" ht="27" customHeight="1" x14ac:dyDescent="0.4">
      <c r="A29" s="130" t="s">
        <v>53</v>
      </c>
      <c r="B29" s="132">
        <v>0</v>
      </c>
      <c r="C29" s="318" t="s">
        <v>54</v>
      </c>
      <c r="D29" s="319"/>
      <c r="E29" s="319"/>
      <c r="F29" s="319"/>
      <c r="G29" s="320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99.89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1" t="s">
        <v>57</v>
      </c>
      <c r="D31" s="322"/>
      <c r="E31" s="322"/>
      <c r="F31" s="322"/>
      <c r="G31" s="322"/>
      <c r="H31" s="323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1" t="s">
        <v>59</v>
      </c>
      <c r="D32" s="322"/>
      <c r="E32" s="322"/>
      <c r="F32" s="322"/>
      <c r="G32" s="322"/>
      <c r="H32" s="32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24" t="s">
        <v>63</v>
      </c>
      <c r="E36" s="325"/>
      <c r="F36" s="324" t="s">
        <v>64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8236213</v>
      </c>
      <c r="E38" s="154">
        <f>IF(ISBLANK(D38),"-",$D$48/$D$45*D38)</f>
        <v>9459938.9755532369</v>
      </c>
      <c r="F38" s="153">
        <v>7247942</v>
      </c>
      <c r="G38" s="155">
        <f>IF(ISBLANK(F38),"-",$D$48/$F$45*F38)</f>
        <v>9350416.9018910509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8229505</v>
      </c>
      <c r="E39" s="159">
        <f>IF(ISBLANK(D39),"-",$D$48/$D$45*D39)</f>
        <v>9452234.3095073234</v>
      </c>
      <c r="F39" s="158">
        <v>7252861</v>
      </c>
      <c r="G39" s="160">
        <f>IF(ISBLANK(F39),"-",$D$48/$F$45*F39)</f>
        <v>9356762.7999046389</v>
      </c>
      <c r="I39" s="328">
        <f>ABS((F43/D43*D42)-F42)/D42</f>
        <v>8.9710112653228324E-3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8221872</v>
      </c>
      <c r="E40" s="159">
        <f>IF(ISBLANK(D40),"-",$D$48/$D$45*D40)</f>
        <v>9443467.208146492</v>
      </c>
      <c r="F40" s="158">
        <v>7257497</v>
      </c>
      <c r="G40" s="160">
        <f>IF(ISBLANK(F40),"-",$D$48/$F$45*F40)</f>
        <v>9362743.6055950224</v>
      </c>
      <c r="I40" s="328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8229196.666666667</v>
      </c>
      <c r="E42" s="169">
        <f>AVERAGE(E38:E41)</f>
        <v>9451880.1644023508</v>
      </c>
      <c r="F42" s="168">
        <f>AVERAGE(F38:F41)</f>
        <v>7252766.666666667</v>
      </c>
      <c r="G42" s="170">
        <f>AVERAGE(G38:G41)</f>
        <v>9356641.1024635714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21.79</v>
      </c>
      <c r="E43" s="161"/>
      <c r="F43" s="173">
        <v>19.399999999999999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21.79</v>
      </c>
      <c r="E44" s="176"/>
      <c r="F44" s="175">
        <f>F43*$B$34</f>
        <v>19.399999999999999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50</v>
      </c>
      <c r="C45" s="174" t="s">
        <v>81</v>
      </c>
      <c r="D45" s="178">
        <f>D44*$B$30/100</f>
        <v>21.766030999999998</v>
      </c>
      <c r="E45" s="179"/>
      <c r="F45" s="178">
        <f>F44*$B$30/100</f>
        <v>19.378659999999996</v>
      </c>
      <c r="H45" s="171"/>
    </row>
    <row r="46" spans="1:14" ht="19.5" customHeight="1" x14ac:dyDescent="0.3">
      <c r="A46" s="329" t="s">
        <v>82</v>
      </c>
      <c r="B46" s="330"/>
      <c r="C46" s="174" t="s">
        <v>83</v>
      </c>
      <c r="D46" s="180">
        <f>D45/$B$45</f>
        <v>0.43532061999999994</v>
      </c>
      <c r="E46" s="181"/>
      <c r="F46" s="182">
        <f>F45/$B$45</f>
        <v>0.38757319999999995</v>
      </c>
      <c r="H46" s="171"/>
    </row>
    <row r="47" spans="1:14" ht="27" customHeight="1" x14ac:dyDescent="0.4">
      <c r="A47" s="331"/>
      <c r="B47" s="332"/>
      <c r="C47" s="183" t="s">
        <v>84</v>
      </c>
      <c r="D47" s="184">
        <v>0.5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25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9404260.6334329601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5.5899259328105475E-3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capsules contains fluconazole 150 mg</v>
      </c>
    </row>
    <row r="56" spans="1:12" ht="26.25" customHeight="1" x14ac:dyDescent="0.4">
      <c r="A56" s="198" t="s">
        <v>91</v>
      </c>
      <c r="B56" s="199">
        <v>150</v>
      </c>
      <c r="C56" s="120" t="str">
        <f>B20</f>
        <v>Fluconazole</v>
      </c>
      <c r="H56" s="200"/>
    </row>
    <row r="57" spans="1:12" ht="18.75" x14ac:dyDescent="0.3">
      <c r="A57" s="197" t="s">
        <v>92</v>
      </c>
      <c r="B57" s="289">
        <f>Uniformity!D43</f>
        <v>344.81149999999997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200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10</v>
      </c>
      <c r="C60" s="333" t="s">
        <v>98</v>
      </c>
      <c r="D60" s="336">
        <v>439.34</v>
      </c>
      <c r="E60" s="203">
        <v>1</v>
      </c>
      <c r="F60" s="204">
        <v>7258006</v>
      </c>
      <c r="G60" s="290">
        <f>IF(ISBLANK(F60),"-",(F60/$D$50*$D$47*$B$68)*($B$57/$D$60))</f>
        <v>151.43060966033465</v>
      </c>
      <c r="H60" s="205">
        <f t="shared" ref="H60:H71" si="0">IF(ISBLANK(F60),"-",G60/$B$56)</f>
        <v>1.0095373977355644</v>
      </c>
      <c r="L60" s="133"/>
    </row>
    <row r="61" spans="1:12" s="14" customFormat="1" ht="26.25" customHeight="1" x14ac:dyDescent="0.4">
      <c r="A61" s="145" t="s">
        <v>99</v>
      </c>
      <c r="B61" s="146">
        <v>25</v>
      </c>
      <c r="C61" s="334"/>
      <c r="D61" s="337"/>
      <c r="E61" s="206">
        <v>2</v>
      </c>
      <c r="F61" s="158">
        <v>7160077</v>
      </c>
      <c r="G61" s="291">
        <f>IF(ISBLANK(F61),"-",(F61/$D$50*$D$47*$B$68)*($B$57/$D$60))</f>
        <v>149.38742477271856</v>
      </c>
      <c r="H61" s="207">
        <f t="shared" si="0"/>
        <v>0.99591616515145709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4"/>
      <c r="D62" s="337"/>
      <c r="E62" s="206">
        <v>3</v>
      </c>
      <c r="F62" s="208">
        <v>7201233</v>
      </c>
      <c r="G62" s="291">
        <f>IF(ISBLANK(F62),"-",(F62/$D$50*$D$47*$B$68)*($B$57/$D$60))</f>
        <v>150.24610113247641</v>
      </c>
      <c r="H62" s="207">
        <f t="shared" si="0"/>
        <v>1.0016406742165094</v>
      </c>
      <c r="L62" s="133"/>
    </row>
    <row r="63" spans="1:12" ht="27" customHeight="1" x14ac:dyDescent="0.4">
      <c r="A63" s="145" t="s">
        <v>101</v>
      </c>
      <c r="B63" s="146">
        <v>1</v>
      </c>
      <c r="C63" s="335"/>
      <c r="D63" s="33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3" t="s">
        <v>103</v>
      </c>
      <c r="D64" s="336">
        <v>455.31</v>
      </c>
      <c r="E64" s="203">
        <v>1</v>
      </c>
      <c r="F64" s="204">
        <v>7487919</v>
      </c>
      <c r="G64" s="292">
        <f>IF(ISBLANK(F64),"-",(F64/$D$50*$D$47*$B$68)*($B$57/$D$64))</f>
        <v>150.74782075332698</v>
      </c>
      <c r="H64" s="211">
        <f t="shared" si="0"/>
        <v>1.0049854716888464</v>
      </c>
    </row>
    <row r="65" spans="1:8" ht="26.25" customHeight="1" x14ac:dyDescent="0.4">
      <c r="A65" s="145" t="s">
        <v>104</v>
      </c>
      <c r="B65" s="146">
        <v>1</v>
      </c>
      <c r="C65" s="334"/>
      <c r="D65" s="337"/>
      <c r="E65" s="206">
        <v>2</v>
      </c>
      <c r="F65" s="158">
        <v>7419299</v>
      </c>
      <c r="G65" s="293">
        <f>IF(ISBLANK(F65),"-",(F65/$D$50*$D$47*$B$68)*($B$57/$D$64))</f>
        <v>149.36635342440778</v>
      </c>
      <c r="H65" s="212">
        <f t="shared" si="0"/>
        <v>0.99577568949605189</v>
      </c>
    </row>
    <row r="66" spans="1:8" ht="26.25" customHeight="1" x14ac:dyDescent="0.4">
      <c r="A66" s="145" t="s">
        <v>105</v>
      </c>
      <c r="B66" s="146">
        <v>1</v>
      </c>
      <c r="C66" s="334"/>
      <c r="D66" s="337"/>
      <c r="E66" s="206">
        <v>3</v>
      </c>
      <c r="F66" s="158">
        <v>7519246</v>
      </c>
      <c r="G66" s="293">
        <f>IF(ISBLANK(F66),"-",(F66/$D$50*$D$47*$B$68)*($B$57/$D$64))</f>
        <v>151.37850024929102</v>
      </c>
      <c r="H66" s="212">
        <f t="shared" si="0"/>
        <v>1.0091900016619402</v>
      </c>
    </row>
    <row r="67" spans="1:8" ht="27" customHeight="1" x14ac:dyDescent="0.4">
      <c r="A67" s="145" t="s">
        <v>106</v>
      </c>
      <c r="B67" s="146">
        <v>1</v>
      </c>
      <c r="C67" s="335"/>
      <c r="D67" s="33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500</v>
      </c>
      <c r="C68" s="333" t="s">
        <v>108</v>
      </c>
      <c r="D68" s="336">
        <v>459.44</v>
      </c>
      <c r="E68" s="203">
        <v>1</v>
      </c>
      <c r="F68" s="204">
        <v>7546255</v>
      </c>
      <c r="G68" s="292">
        <f>IF(ISBLANK(F68),"-",(F68/$D$50*$D$47*$B$68)*($B$57/$D$68))</f>
        <v>150.55658904442998</v>
      </c>
      <c r="H68" s="207">
        <f t="shared" si="0"/>
        <v>1.0037105936295332</v>
      </c>
    </row>
    <row r="69" spans="1:8" ht="27" customHeight="1" x14ac:dyDescent="0.4">
      <c r="A69" s="193" t="s">
        <v>109</v>
      </c>
      <c r="B69" s="215">
        <f>(D47*B68)/B56*B57</f>
        <v>574.68583333333333</v>
      </c>
      <c r="C69" s="334"/>
      <c r="D69" s="337"/>
      <c r="E69" s="206">
        <v>2</v>
      </c>
      <c r="F69" s="158">
        <v>7601192</v>
      </c>
      <c r="G69" s="293">
        <f>IF(ISBLANK(F69),"-",(F69/$D$50*$D$47*$B$68)*($B$57/$D$68))</f>
        <v>151.6526462718009</v>
      </c>
      <c r="H69" s="207">
        <f t="shared" si="0"/>
        <v>1.011017641812006</v>
      </c>
    </row>
    <row r="70" spans="1:8" ht="26.25" customHeight="1" x14ac:dyDescent="0.4">
      <c r="A70" s="346" t="s">
        <v>82</v>
      </c>
      <c r="B70" s="347"/>
      <c r="C70" s="334"/>
      <c r="D70" s="337"/>
      <c r="E70" s="206">
        <v>3</v>
      </c>
      <c r="F70" s="158">
        <v>7605957</v>
      </c>
      <c r="G70" s="293">
        <f>IF(ISBLANK(F70),"-",(F70/$D$50*$D$47*$B$68)*($B$57/$D$68))</f>
        <v>151.7477135795975</v>
      </c>
      <c r="H70" s="207">
        <f t="shared" si="0"/>
        <v>1.0116514238639833</v>
      </c>
    </row>
    <row r="71" spans="1:8" ht="27" customHeight="1" x14ac:dyDescent="0.4">
      <c r="A71" s="348"/>
      <c r="B71" s="349"/>
      <c r="C71" s="345"/>
      <c r="D71" s="33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150.72375098759821</v>
      </c>
      <c r="H72" s="220">
        <f>AVERAGE(H60:H71)</f>
        <v>1.0048250065839879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6.0828689215841935E-3</v>
      </c>
      <c r="H73" s="295">
        <f>STDEV(H60:H71)/H72</f>
        <v>6.0828689215841909E-3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1" t="str">
        <f>B20</f>
        <v>Fluconazole</v>
      </c>
      <c r="D76" s="341"/>
      <c r="E76" s="226" t="s">
        <v>112</v>
      </c>
      <c r="F76" s="226"/>
      <c r="G76" s="227">
        <f>H72</f>
        <v>1.0048250065839879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7" t="str">
        <f>B26</f>
        <v>Fluconazole</v>
      </c>
      <c r="C79" s="327"/>
    </row>
    <row r="80" spans="1:8" ht="26.25" customHeight="1" x14ac:dyDescent="0.4">
      <c r="A80" s="130" t="s">
        <v>52</v>
      </c>
      <c r="B80" s="327" t="str">
        <f>B27</f>
        <v>F1-3</v>
      </c>
      <c r="C80" s="327"/>
    </row>
    <row r="81" spans="1:12" ht="27" customHeight="1" x14ac:dyDescent="0.4">
      <c r="A81" s="130" t="s">
        <v>6</v>
      </c>
      <c r="B81" s="229">
        <f>B28</f>
        <v>99.89</v>
      </c>
    </row>
    <row r="82" spans="1:12" s="14" customFormat="1" ht="27" customHeight="1" x14ac:dyDescent="0.4">
      <c r="A82" s="130" t="s">
        <v>53</v>
      </c>
      <c r="B82" s="132">
        <v>0</v>
      </c>
      <c r="C82" s="318" t="s">
        <v>54</v>
      </c>
      <c r="D82" s="319"/>
      <c r="E82" s="319"/>
      <c r="F82" s="319"/>
      <c r="G82" s="320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99.89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1" t="s">
        <v>115</v>
      </c>
      <c r="D84" s="322"/>
      <c r="E84" s="322"/>
      <c r="F84" s="322"/>
      <c r="G84" s="322"/>
      <c r="H84" s="323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1" t="s">
        <v>116</v>
      </c>
      <c r="D85" s="322"/>
      <c r="E85" s="322"/>
      <c r="F85" s="322"/>
      <c r="G85" s="322"/>
      <c r="H85" s="32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50</v>
      </c>
      <c r="D89" s="230" t="s">
        <v>63</v>
      </c>
      <c r="E89" s="231"/>
      <c r="F89" s="324" t="s">
        <v>64</v>
      </c>
      <c r="G89" s="326"/>
    </row>
    <row r="90" spans="1:12" ht="27" customHeight="1" x14ac:dyDescent="0.4">
      <c r="A90" s="145" t="s">
        <v>65</v>
      </c>
      <c r="B90" s="146">
        <v>10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25</v>
      </c>
      <c r="C91" s="234">
        <v>1</v>
      </c>
      <c r="D91" s="153">
        <v>4101840</v>
      </c>
      <c r="E91" s="154">
        <f>IF(ISBLANK(D91),"-",$D$101/$D$98*D91)</f>
        <v>3926071.7767056385</v>
      </c>
      <c r="F91" s="153">
        <v>3643273</v>
      </c>
      <c r="G91" s="155">
        <f>IF(ISBLANK(F91),"-",$D$101/$F$98*F91)</f>
        <v>3916757.9612487834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4123297</v>
      </c>
      <c r="E92" s="159">
        <f>IF(ISBLANK(D92),"-",$D$101/$D$98*D92)</f>
        <v>3946609.3213472562</v>
      </c>
      <c r="F92" s="158">
        <v>3642123</v>
      </c>
      <c r="G92" s="160">
        <f>IF(ISBLANK(F92),"-",$D$101/$F$98*F92)</f>
        <v>3915521.6356548914</v>
      </c>
      <c r="I92" s="328">
        <f>ABS((F96/D96*D95)-F95)/D95</f>
        <v>6.0745464461161502E-3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4115007</v>
      </c>
      <c r="E93" s="159">
        <f>IF(ISBLANK(D93),"-",$D$101/$D$98*D93)</f>
        <v>3938674.5566980038</v>
      </c>
      <c r="F93" s="158">
        <v>3626279</v>
      </c>
      <c r="G93" s="160">
        <f>IF(ISBLANK(F93),"-",$D$101/$F$98*F93)</f>
        <v>3898488.2941682595</v>
      </c>
      <c r="I93" s="328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4113381.3333333335</v>
      </c>
      <c r="E95" s="169">
        <f>AVERAGE(E91:E94)</f>
        <v>3937118.5515836328</v>
      </c>
      <c r="F95" s="239">
        <f>AVERAGE(F91:F94)</f>
        <v>3637225</v>
      </c>
      <c r="G95" s="240">
        <f>AVERAGE(G91:G94)</f>
        <v>3910255.9636906446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21.79</v>
      </c>
      <c r="E96" s="161"/>
      <c r="F96" s="173">
        <v>19.399999999999999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21.79</v>
      </c>
      <c r="E97" s="176"/>
      <c r="F97" s="175">
        <f>F96*$B$87</f>
        <v>19.399999999999999</v>
      </c>
    </row>
    <row r="98" spans="1:10" ht="19.5" customHeight="1" x14ac:dyDescent="0.3">
      <c r="A98" s="145" t="s">
        <v>80</v>
      </c>
      <c r="B98" s="245">
        <f>(B97/B96)*(B95/B94)*(B93/B92)*(B91/B90)*B89</f>
        <v>125</v>
      </c>
      <c r="C98" s="243" t="s">
        <v>119</v>
      </c>
      <c r="D98" s="246">
        <f>D97*$B$83/100</f>
        <v>21.766030999999998</v>
      </c>
      <c r="E98" s="179"/>
      <c r="F98" s="178">
        <f>F97*$B$83/100</f>
        <v>19.378659999999996</v>
      </c>
    </row>
    <row r="99" spans="1:10" ht="19.5" customHeight="1" x14ac:dyDescent="0.3">
      <c r="A99" s="329" t="s">
        <v>82</v>
      </c>
      <c r="B99" s="343"/>
      <c r="C99" s="243" t="s">
        <v>120</v>
      </c>
      <c r="D99" s="247">
        <f>D98/$B$98</f>
        <v>0.17412824799999999</v>
      </c>
      <c r="E99" s="179"/>
      <c r="F99" s="182">
        <f>F98/$B$98</f>
        <v>0.15502927999999996</v>
      </c>
      <c r="G99" s="248"/>
      <c r="H99" s="171"/>
    </row>
    <row r="100" spans="1:10" ht="19.5" customHeight="1" x14ac:dyDescent="0.3">
      <c r="A100" s="331"/>
      <c r="B100" s="344"/>
      <c r="C100" s="243" t="s">
        <v>84</v>
      </c>
      <c r="D100" s="249">
        <f>$B$56/$B$116</f>
        <v>0.16666666666666666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20.833333333333332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20.833333333333332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3923687.2576371389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4.4222927298179305E-3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265">
        <v>3597170</v>
      </c>
      <c r="E108" s="296">
        <f t="shared" ref="E108:E113" si="1">IF(ISBLANK(D108),"-",D108/$D$103*$D$100*$B$116)</f>
        <v>137.51745859707856</v>
      </c>
      <c r="F108" s="266">
        <f t="shared" ref="F108:F113" si="2">IF(ISBLANK(D108), "-", E108/$B$56)</f>
        <v>0.91678305731385701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265">
        <v>3869862</v>
      </c>
      <c r="E109" s="297">
        <f t="shared" si="1"/>
        <v>147.94229557163203</v>
      </c>
      <c r="F109" s="267">
        <f t="shared" si="2"/>
        <v>0.98628197047754684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3835688</v>
      </c>
      <c r="E110" s="297">
        <f t="shared" si="1"/>
        <v>146.63584588198808</v>
      </c>
      <c r="F110" s="267">
        <f t="shared" si="2"/>
        <v>0.9775723058799205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3736336</v>
      </c>
      <c r="E111" s="297">
        <f t="shared" si="1"/>
        <v>142.83768384167945</v>
      </c>
      <c r="F111" s="267">
        <f t="shared" si="2"/>
        <v>0.95225122561119635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3700282</v>
      </c>
      <c r="E112" s="297">
        <f t="shared" si="1"/>
        <v>141.45936298048605</v>
      </c>
      <c r="F112" s="267">
        <f t="shared" si="2"/>
        <v>0.94306241986990702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3866677</v>
      </c>
      <c r="E113" s="298">
        <f t="shared" si="1"/>
        <v>147.82053510281023</v>
      </c>
      <c r="F113" s="270">
        <f t="shared" si="2"/>
        <v>0.98547023401873479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144.03553032927906</v>
      </c>
      <c r="F115" s="273">
        <f>AVERAGE(F108:F113)</f>
        <v>0.96023686886186033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4"/>
      <c r="D116" s="237" t="s">
        <v>88</v>
      </c>
      <c r="E116" s="275">
        <f>STDEV(E108:E113)/E115</f>
        <v>2.894502081235964E-2</v>
      </c>
      <c r="F116" s="275">
        <f>STDEV(F108:F113)/F115</f>
        <v>2.894502081235964E-2</v>
      </c>
      <c r="I116" s="119"/>
    </row>
    <row r="117" spans="1:10" ht="27" customHeight="1" x14ac:dyDescent="0.4">
      <c r="A117" s="329" t="s">
        <v>82</v>
      </c>
      <c r="B117" s="330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1"/>
      <c r="B118" s="33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1" t="str">
        <f>B20</f>
        <v>Fluconazole</v>
      </c>
      <c r="D120" s="341"/>
      <c r="E120" s="226" t="s">
        <v>127</v>
      </c>
      <c r="F120" s="226"/>
      <c r="G120" s="227">
        <f>F115</f>
        <v>0.96023686886186033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2" t="s">
        <v>26</v>
      </c>
      <c r="C122" s="342"/>
      <c r="E122" s="232" t="s">
        <v>27</v>
      </c>
      <c r="F122" s="281"/>
      <c r="G122" s="342" t="s">
        <v>28</v>
      </c>
      <c r="H122" s="342"/>
    </row>
    <row r="123" spans="1:10" ht="69.9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1:K35"/>
  <sheetViews>
    <sheetView workbookViewId="0">
      <selection activeCell="E36" sqref="E36"/>
    </sheetView>
  </sheetViews>
  <sheetFormatPr defaultRowHeight="12.75" x14ac:dyDescent="0.2"/>
  <sheetData>
    <row r="21" spans="6:11" x14ac:dyDescent="0.2">
      <c r="H21">
        <f>150/900*1/5</f>
        <v>3.3333333333333333E-2</v>
      </c>
    </row>
    <row r="23" spans="6:11" x14ac:dyDescent="0.2">
      <c r="K23">
        <f>200</f>
        <v>200</v>
      </c>
    </row>
    <row r="24" spans="6:11" x14ac:dyDescent="0.2">
      <c r="K24">
        <v>344.1</v>
      </c>
    </row>
    <row r="25" spans="6:11" x14ac:dyDescent="0.2">
      <c r="G25">
        <f>150/250</f>
        <v>0.6</v>
      </c>
    </row>
    <row r="26" spans="6:11" x14ac:dyDescent="0.2">
      <c r="K26">
        <v>150</v>
      </c>
    </row>
    <row r="27" spans="6:11" x14ac:dyDescent="0.2">
      <c r="K27">
        <f>K23/K26*K24</f>
        <v>458.8</v>
      </c>
    </row>
    <row r="29" spans="6:11" x14ac:dyDescent="0.2">
      <c r="G29">
        <f>150/200*5/25</f>
        <v>0.15</v>
      </c>
    </row>
    <row r="31" spans="6:11" x14ac:dyDescent="0.2">
      <c r="F31">
        <f>20/100</f>
        <v>0.2</v>
      </c>
    </row>
    <row r="33" spans="5:10" x14ac:dyDescent="0.2">
      <c r="H33">
        <f>43/50*5/25</f>
        <v>0.17199999999999999</v>
      </c>
    </row>
    <row r="34" spans="5:10" x14ac:dyDescent="0.2">
      <c r="J34">
        <f>200/200*10/25</f>
        <v>0.4</v>
      </c>
    </row>
    <row r="35" spans="5:10" x14ac:dyDescent="0.2">
      <c r="E35">
        <f>25/50*10/25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Uniformity</vt:lpstr>
      <vt:lpstr>Fluconazole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2016-07-20T07:37:44Z</cp:lastPrinted>
  <dcterms:created xsi:type="dcterms:W3CDTF">2005-07-05T10:19:27Z</dcterms:created>
  <dcterms:modified xsi:type="dcterms:W3CDTF">2016-07-22T12:06:07Z</dcterms:modified>
</cp:coreProperties>
</file>