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Rutto\"/>
    </mc:Choice>
  </mc:AlternateContent>
  <bookViews>
    <workbookView xWindow="510" yWindow="555" windowWidth="15015" windowHeight="7620" firstSheet="1" activeTab="4"/>
  </bookViews>
  <sheets>
    <sheet name="SST" sheetId="1" r:id="rId1"/>
    <sheet name="Uniformity" sheetId="2" r:id="rId2"/>
    <sheet name="Pantoprazole Acid stage" sheetId="11" r:id="rId3"/>
    <sheet name="Pantoprazole Buffer stage" sheetId="3" r:id="rId4"/>
    <sheet name="Uniformity of content" sheetId="12" r:id="rId5"/>
  </sheets>
  <externalReferences>
    <externalReference r:id="rId6"/>
  </externalReferences>
  <definedNames>
    <definedName name="_xlnm.Print_Area" localSheetId="2">'Pantoprazole Acid stage'!$A$1:$H$144</definedName>
    <definedName name="_xlnm.Print_Area" localSheetId="3">'Pantoprazole Buffer stage'!$A$1:$H$144</definedName>
    <definedName name="_xlnm.Print_Area" localSheetId="1">Uniformity!$A$1:$F$54</definedName>
    <definedName name="_xlnm.Print_Area" localSheetId="4">'Uniformity of content'!$A$1:$G$133</definedName>
  </definedNames>
  <calcPr calcId="152511"/>
</workbook>
</file>

<file path=xl/calcChain.xml><?xml version="1.0" encoding="utf-8"?>
<calcChain xmlns="http://schemas.openxmlformats.org/spreadsheetml/2006/main">
  <c r="C129" i="12" l="1"/>
  <c r="B125" i="12"/>
  <c r="D109" i="12" s="1"/>
  <c r="D110" i="12" s="1"/>
  <c r="B107" i="12"/>
  <c r="F106" i="12"/>
  <c r="F104" i="12"/>
  <c r="D104" i="12"/>
  <c r="G103" i="12"/>
  <c r="E103" i="12"/>
  <c r="B96" i="12"/>
  <c r="D106" i="12" s="1"/>
  <c r="B90" i="12"/>
  <c r="B91" i="12" s="1"/>
  <c r="C74" i="12"/>
  <c r="B67" i="12"/>
  <c r="B57" i="12"/>
  <c r="C56" i="12"/>
  <c r="B55" i="12"/>
  <c r="B45" i="12"/>
  <c r="D48" i="12" s="1"/>
  <c r="F42" i="12"/>
  <c r="D42" i="12"/>
  <c r="G41" i="12"/>
  <c r="E41" i="12"/>
  <c r="B34" i="12"/>
  <c r="D44" i="12" s="1"/>
  <c r="D45" i="12" s="1"/>
  <c r="D46" i="12" s="1"/>
  <c r="B30" i="12"/>
  <c r="F44" i="12" l="1"/>
  <c r="F45" i="12" s="1"/>
  <c r="F46" i="12" s="1"/>
  <c r="D111" i="12"/>
  <c r="E102" i="12"/>
  <c r="G101" i="12"/>
  <c r="D107" i="12"/>
  <c r="D108" i="12" s="1"/>
  <c r="F107" i="12"/>
  <c r="F108" i="12" s="1"/>
  <c r="E39" i="12"/>
  <c r="D49" i="12"/>
  <c r="E40" i="12"/>
  <c r="E38" i="12"/>
  <c r="G39" i="12"/>
  <c r="G40" i="12"/>
  <c r="G38" i="12"/>
  <c r="B21" i="1"/>
  <c r="C140" i="11"/>
  <c r="B136" i="11"/>
  <c r="D101" i="11" s="1"/>
  <c r="D102" i="11" s="1"/>
  <c r="C123" i="11"/>
  <c r="B119" i="11"/>
  <c r="B99" i="11"/>
  <c r="F96" i="11"/>
  <c r="D96" i="11"/>
  <c r="G95" i="11"/>
  <c r="E95" i="11"/>
  <c r="B88" i="11"/>
  <c r="D98" i="11" s="1"/>
  <c r="B83" i="11"/>
  <c r="B82" i="11"/>
  <c r="B84" i="11" s="1"/>
  <c r="B81" i="11"/>
  <c r="C76" i="11"/>
  <c r="H71" i="11"/>
  <c r="G71" i="11"/>
  <c r="B68" i="11"/>
  <c r="H67" i="11"/>
  <c r="G67" i="11"/>
  <c r="H63" i="11"/>
  <c r="G63" i="11"/>
  <c r="C56" i="11"/>
  <c r="B55" i="11"/>
  <c r="B45" i="11"/>
  <c r="D48" i="11" s="1"/>
  <c r="F42" i="11"/>
  <c r="D42" i="11"/>
  <c r="G41" i="11"/>
  <c r="E41" i="11"/>
  <c r="B34" i="11"/>
  <c r="F44" i="11" s="1"/>
  <c r="F45" i="11" s="1"/>
  <c r="B30" i="11"/>
  <c r="F46" i="11" l="1"/>
  <c r="E42" i="12"/>
  <c r="D50" i="12"/>
  <c r="D52" i="12"/>
  <c r="G102" i="12"/>
  <c r="G42" i="12"/>
  <c r="E101" i="12"/>
  <c r="G100" i="12"/>
  <c r="G104" i="12" s="1"/>
  <c r="E100" i="12"/>
  <c r="G39" i="11"/>
  <c r="G40" i="11"/>
  <c r="G38" i="11"/>
  <c r="D49" i="11"/>
  <c r="D103" i="11"/>
  <c r="G92" i="11"/>
  <c r="D99" i="11"/>
  <c r="D100" i="11" s="1"/>
  <c r="D44" i="11"/>
  <c r="D45" i="11" s="1"/>
  <c r="D46" i="11" s="1"/>
  <c r="F98" i="11"/>
  <c r="F99" i="11" s="1"/>
  <c r="F100" i="11" s="1"/>
  <c r="E40" i="11" l="1"/>
  <c r="E39" i="11"/>
  <c r="E94" i="11"/>
  <c r="G93" i="11"/>
  <c r="E92" i="11"/>
  <c r="D114" i="12"/>
  <c r="D112" i="12"/>
  <c r="E104" i="12"/>
  <c r="E65" i="12"/>
  <c r="E67" i="12"/>
  <c r="E66" i="12"/>
  <c r="E62" i="12"/>
  <c r="E59" i="12"/>
  <c r="E64" i="12"/>
  <c r="E61" i="12"/>
  <c r="E68" i="12"/>
  <c r="E63" i="12"/>
  <c r="E60" i="12"/>
  <c r="D51" i="12"/>
  <c r="G94" i="11"/>
  <c r="G42" i="11"/>
  <c r="E93" i="11"/>
  <c r="E38" i="11"/>
  <c r="E96" i="11" l="1"/>
  <c r="E119" i="12"/>
  <c r="F119" i="12" s="1"/>
  <c r="E122" i="12"/>
  <c r="F122" i="12" s="1"/>
  <c r="E120" i="12"/>
  <c r="F120" i="12" s="1"/>
  <c r="E118" i="12"/>
  <c r="F118" i="12" s="1"/>
  <c r="D113" i="12"/>
  <c r="E121" i="12"/>
  <c r="F121" i="12" s="1"/>
  <c r="E117" i="12"/>
  <c r="F117" i="12" s="1"/>
  <c r="G60" i="12"/>
  <c r="G64" i="12"/>
  <c r="G63" i="12"/>
  <c r="E72" i="12"/>
  <c r="E70" i="12"/>
  <c r="E71" i="12" s="1"/>
  <c r="G59" i="12"/>
  <c r="G65" i="12"/>
  <c r="G61" i="12"/>
  <c r="G68" i="12"/>
  <c r="G62" i="12"/>
  <c r="G66" i="12"/>
  <c r="G67" i="12"/>
  <c r="F67" i="12"/>
  <c r="D106" i="11"/>
  <c r="D104" i="11"/>
  <c r="E130" i="11" s="1"/>
  <c r="F130" i="11" s="1"/>
  <c r="E114" i="11"/>
  <c r="F114" i="11" s="1"/>
  <c r="E113" i="11"/>
  <c r="F113" i="11" s="1"/>
  <c r="E111" i="11"/>
  <c r="F111" i="11" s="1"/>
  <c r="G96" i="11"/>
  <c r="D50" i="11"/>
  <c r="E42" i="11"/>
  <c r="D52" i="11"/>
  <c r="F62" i="12" l="1"/>
  <c r="F61" i="12"/>
  <c r="F66" i="12"/>
  <c r="F65" i="12"/>
  <c r="F59" i="12"/>
  <c r="F60" i="12"/>
  <c r="F68" i="12"/>
  <c r="E133" i="11"/>
  <c r="F133" i="11" s="1"/>
  <c r="D105" i="11"/>
  <c r="E131" i="11"/>
  <c r="F131" i="11" s="1"/>
  <c r="E116" i="11"/>
  <c r="F116" i="11" s="1"/>
  <c r="G70" i="12"/>
  <c r="G72" i="12"/>
  <c r="C81" i="12"/>
  <c r="F63" i="12"/>
  <c r="F72" i="12"/>
  <c r="F64" i="12"/>
  <c r="F124" i="12"/>
  <c r="F126" i="12"/>
  <c r="E128" i="11"/>
  <c r="F128" i="11" s="1"/>
  <c r="E115" i="11"/>
  <c r="F115" i="11" s="1"/>
  <c r="E129" i="11"/>
  <c r="F129" i="11" s="1"/>
  <c r="E112" i="11"/>
  <c r="F112" i="11" s="1"/>
  <c r="E132" i="11"/>
  <c r="F132" i="11" s="1"/>
  <c r="D51" i="11"/>
  <c r="F137" i="11" l="1"/>
  <c r="F118" i="11"/>
  <c r="F119" i="11" s="1"/>
  <c r="F70" i="12"/>
  <c r="F71" i="12" s="1"/>
  <c r="G74" i="12"/>
  <c r="C79" i="12"/>
  <c r="C82" i="12"/>
  <c r="C83" i="12" s="1"/>
  <c r="G71" i="12"/>
  <c r="G129" i="12"/>
  <c r="F125" i="12"/>
  <c r="F135" i="11"/>
  <c r="F136" i="11" s="1"/>
  <c r="F120" i="11"/>
  <c r="G123" i="11" l="1"/>
  <c r="G140" i="11"/>
  <c r="C140" i="3" l="1"/>
  <c r="B136" i="3"/>
  <c r="D101" i="3" s="1"/>
  <c r="C123" i="3"/>
  <c r="B119" i="3"/>
  <c r="B99" i="3"/>
  <c r="F96" i="3"/>
  <c r="D96" i="3"/>
  <c r="G95" i="3"/>
  <c r="E95" i="3"/>
  <c r="B88" i="3"/>
  <c r="D98" i="3" s="1"/>
  <c r="B83" i="3"/>
  <c r="B82" i="3"/>
  <c r="B81" i="3"/>
  <c r="C76" i="3"/>
  <c r="H71" i="3"/>
  <c r="G71" i="3"/>
  <c r="B68" i="3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D44" i="3" s="1"/>
  <c r="B30" i="3"/>
  <c r="C46" i="2"/>
  <c r="B57" i="11" s="1"/>
  <c r="C45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3" i="2" l="1"/>
  <c r="D37" i="2"/>
  <c r="D41" i="2"/>
  <c r="D50" i="2"/>
  <c r="D26" i="2"/>
  <c r="D38" i="2"/>
  <c r="D27" i="2"/>
  <c r="D31" i="2"/>
  <c r="D35" i="2"/>
  <c r="D39" i="2"/>
  <c r="D43" i="2"/>
  <c r="C49" i="2"/>
  <c r="B57" i="3"/>
  <c r="B69" i="11"/>
  <c r="G70" i="11"/>
  <c r="H70" i="11" s="1"/>
  <c r="G69" i="11"/>
  <c r="H69" i="11" s="1"/>
  <c r="G66" i="11"/>
  <c r="H66" i="11" s="1"/>
  <c r="G65" i="11"/>
  <c r="H65" i="11" s="1"/>
  <c r="G61" i="11"/>
  <c r="H61" i="11" s="1"/>
  <c r="G64" i="11"/>
  <c r="H64" i="11" s="1"/>
  <c r="G60" i="11"/>
  <c r="H60" i="11" s="1"/>
  <c r="G68" i="11"/>
  <c r="H68" i="11" s="1"/>
  <c r="G62" i="11"/>
  <c r="H62" i="11" s="1"/>
  <c r="D30" i="2"/>
  <c r="D34" i="2"/>
  <c r="D42" i="2"/>
  <c r="B49" i="2"/>
  <c r="D24" i="2"/>
  <c r="D28" i="2"/>
  <c r="D32" i="2"/>
  <c r="D36" i="2"/>
  <c r="D40" i="2"/>
  <c r="D49" i="2"/>
  <c r="B69" i="3"/>
  <c r="F44" i="3"/>
  <c r="F45" i="3" s="1"/>
  <c r="D102" i="3"/>
  <c r="D103" i="3" s="1"/>
  <c r="F98" i="3"/>
  <c r="D49" i="3"/>
  <c r="B84" i="3"/>
  <c r="D45" i="3"/>
  <c r="E38" i="3" s="1"/>
  <c r="C50" i="2"/>
  <c r="H74" i="11" l="1"/>
  <c r="H72" i="11"/>
  <c r="F46" i="3"/>
  <c r="G39" i="3"/>
  <c r="G38" i="3"/>
  <c r="G40" i="3"/>
  <c r="D46" i="3"/>
  <c r="E39" i="3"/>
  <c r="E40" i="3"/>
  <c r="F99" i="3"/>
  <c r="D99" i="3"/>
  <c r="D50" i="3" l="1"/>
  <c r="G69" i="3" s="1"/>
  <c r="H69" i="3" s="1"/>
  <c r="G76" i="11"/>
  <c r="H73" i="11"/>
  <c r="D52" i="3"/>
  <c r="D51" i="3"/>
  <c r="G68" i="3"/>
  <c r="H68" i="3" s="1"/>
  <c r="G61" i="3"/>
  <c r="H61" i="3" s="1"/>
  <c r="G62" i="3"/>
  <c r="H62" i="3" s="1"/>
  <c r="G42" i="3"/>
  <c r="E42" i="3"/>
  <c r="F100" i="3"/>
  <c r="G94" i="3"/>
  <c r="G93" i="3"/>
  <c r="G92" i="3"/>
  <c r="G96" i="3" s="1"/>
  <c r="D100" i="3"/>
  <c r="E92" i="3"/>
  <c r="E94" i="3"/>
  <c r="E93" i="3"/>
  <c r="G64" i="3" l="1"/>
  <c r="H64" i="3" s="1"/>
  <c r="G65" i="3"/>
  <c r="H65" i="3" s="1"/>
  <c r="G70" i="3"/>
  <c r="H70" i="3" s="1"/>
  <c r="G60" i="3"/>
  <c r="H60" i="3" s="1"/>
  <c r="H74" i="3" s="1"/>
  <c r="G66" i="3"/>
  <c r="H66" i="3" s="1"/>
  <c r="D104" i="3"/>
  <c r="E96" i="3"/>
  <c r="D106" i="3"/>
  <c r="H72" i="3" l="1"/>
  <c r="H73" i="3" s="1"/>
  <c r="D105" i="3"/>
  <c r="E133" i="3"/>
  <c r="F133" i="3" s="1"/>
  <c r="E129" i="3"/>
  <c r="F129" i="3" s="1"/>
  <c r="E132" i="3"/>
  <c r="F132" i="3" s="1"/>
  <c r="E128" i="3"/>
  <c r="F128" i="3" s="1"/>
  <c r="E131" i="3"/>
  <c r="F131" i="3" s="1"/>
  <c r="E130" i="3"/>
  <c r="F130" i="3" s="1"/>
  <c r="E116" i="3"/>
  <c r="F116" i="3" s="1"/>
  <c r="E113" i="3"/>
  <c r="F113" i="3" s="1"/>
  <c r="E114" i="3"/>
  <c r="F114" i="3" s="1"/>
  <c r="E112" i="3"/>
  <c r="F112" i="3" s="1"/>
  <c r="E111" i="3"/>
  <c r="F111" i="3" s="1"/>
  <c r="E115" i="3"/>
  <c r="F115" i="3" s="1"/>
  <c r="G76" i="3" l="1"/>
  <c r="F118" i="3"/>
  <c r="G123" i="3" s="1"/>
  <c r="F120" i="3"/>
  <c r="F137" i="3"/>
  <c r="F135" i="3"/>
  <c r="G140" i="3" s="1"/>
  <c r="F119" i="3" l="1"/>
  <c r="F136" i="3"/>
</calcChain>
</file>

<file path=xl/sharedStrings.xml><?xml version="1.0" encoding="utf-8"?>
<sst xmlns="http://schemas.openxmlformats.org/spreadsheetml/2006/main" count="595" uniqueCount="146">
  <si>
    <t>HPLC System Suitability Report</t>
  </si>
  <si>
    <t>Analysis Data</t>
  </si>
  <si>
    <t>Assay</t>
  </si>
  <si>
    <t>Sample(s)</t>
  </si>
  <si>
    <t>Reference Substance:</t>
  </si>
  <si>
    <t>PANTONIX TABLET 40 MG</t>
  </si>
  <si>
    <t>% age Purity:</t>
  </si>
  <si>
    <t>NDQD2016061203</t>
  </si>
  <si>
    <t>Weight (mg):</t>
  </si>
  <si>
    <t>Standard Conc (mg/mL):</t>
  </si>
  <si>
    <t>Each tablet contains Pantoprazole sodium 40mg</t>
  </si>
  <si>
    <t>2016-06-23 13:21:43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</si>
  <si>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</si>
  <si>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</si>
  <si>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</si>
  <si>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</si>
  <si>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</si>
  <si>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</si>
  <si>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</si>
  <si>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</si>
  <si>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</si>
  <si>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</si>
  <si>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</si>
  <si>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</si>
  <si>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</si>
  <si>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</si>
  <si>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</si>
  <si>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</si>
  <si>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</si>
  <si>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</si>
  <si>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</si>
  <si>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</si>
  <si>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</si>
  <si>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PANTONIX TABLET 20 MG</t>
  </si>
  <si>
    <t>Laboratory Ref No:</t>
  </si>
  <si>
    <t>Active Ingredient:</t>
  </si>
  <si>
    <t>Pantoprazole 20mg</t>
  </si>
  <si>
    <t>Label Claim:</t>
  </si>
  <si>
    <t>Each tablet contains Pantoprazole sodium 20mg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</si>
  <si>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</si>
  <si>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</si>
  <si>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</si>
  <si>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</si>
  <si>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</si>
  <si>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</si>
  <si>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</si>
  <si>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</si>
  <si>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</si>
  <si>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</si>
  <si>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</si>
  <si>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</si>
  <si>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</si>
  <si>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</si>
  <si>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</si>
  <si>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</si>
  <si>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</si>
  <si>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</si>
  <si>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</si>
  <si>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</si>
  <si>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</si>
  <si>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</si>
  <si>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</si>
  <si>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</si>
  <si>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</si>
  <si>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</si>
  <si>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</si>
  <si>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</si>
  <si>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</si>
  <si>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</si>
  <si>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</si>
  <si>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</si>
  <si>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</si>
  <si>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</si>
  <si>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</si>
  <si>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</si>
  <si>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</si>
  <si>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</si>
  <si>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</si>
  <si>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</si>
  <si>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</si>
  <si>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</si>
  <si>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</si>
  <si>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</si>
  <si>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</si>
  <si>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</si>
  <si>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</si>
  <si>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</si>
  <si>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</si>
  <si>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</si>
  <si>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</si>
  <si>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</si>
  <si>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</si>
  <si>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</si>
  <si>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</si>
  <si>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</si>
  <si>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</si>
  <si>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</si>
  <si>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</si>
  <si>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</si>
  <si>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</si>
  <si>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</si>
  <si>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</si>
  <si>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</si>
  <si>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</si>
  <si>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</si>
  <si>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</si>
  <si>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</si>
  <si>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</si>
  <si>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</si>
  <si>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</si>
  <si>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</si>
  <si>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Average Normalised Peak Area:</t>
  </si>
  <si>
    <t>Analysis Data: Acid Stage</t>
  </si>
  <si>
    <t>Medium Volume (mL):</t>
  </si>
  <si>
    <t>Capsule No.</t>
  </si>
  <si>
    <t>Amt Released (mg):</t>
  </si>
  <si>
    <t>%age Released:</t>
  </si>
  <si>
    <t>Comment:</t>
  </si>
  <si>
    <t xml:space="preserve">The amount  of </t>
  </si>
  <si>
    <t xml:space="preserve">dissolved as a percentage of the stated  label claim is </t>
  </si>
  <si>
    <t>Analysis Data: Buffer Stage</t>
  </si>
  <si>
    <t>Pantoprazole sodium Sesquihydrate</t>
  </si>
  <si>
    <t>P11-2</t>
  </si>
  <si>
    <t xml:space="preserve">Pantoprazole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</si>
  <si>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NMT 10%</t>
    </r>
  </si>
  <si>
    <t>Pantoprazole sodium sesquihydrate</t>
  </si>
  <si>
    <t>Pantoprazole</t>
  </si>
  <si>
    <t>Each Tablet contains Pantoprazole sodium 40 mg</t>
  </si>
  <si>
    <t>Pantoprazole Sodium Sesquihydrate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</si>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</sst>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67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168" fontId="13" fillId="3" borderId="0" xfId="0" applyNumberFormat="1" applyFont="1" applyFill="1" applyAlignment="1" applyProtection="1">
      <alignment horizontal="left" vertical="center"/>
      <protection locked="0"/>
    </xf>
    <xf numFmtId="168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/>
    <xf numFmtId="2" fontId="13" fillId="3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2" fontId="12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1" fillId="2" borderId="21" xfId="0" applyFont="1" applyFill="1" applyBorder="1" applyAlignment="1">
      <alignment horizontal="right" vertical="center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horizontal="right" vertical="center"/>
    </xf>
    <xf numFmtId="0" fontId="13" fillId="3" borderId="24" xfId="0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3" fillId="3" borderId="29" xfId="0" applyFont="1" applyFill="1" applyBorder="1" applyAlignment="1" applyProtection="1">
      <alignment horizontal="center" vertical="center"/>
      <protection locked="0"/>
    </xf>
    <xf numFmtId="170" fontId="11" fillId="2" borderId="26" xfId="0" applyNumberFormat="1" applyFont="1" applyFill="1" applyBorder="1" applyAlignment="1">
      <alignment horizontal="center" vertical="center"/>
    </xf>
    <xf numFmtId="170" fontId="11" fillId="2" borderId="27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170" fontId="11" fillId="2" borderId="30" xfId="0" applyNumberFormat="1" applyFont="1" applyFill="1" applyBorder="1" applyAlignment="1">
      <alignment horizontal="center" vertical="center"/>
    </xf>
    <xf numFmtId="170" fontId="11" fillId="2" borderId="31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 vertical="center"/>
    </xf>
    <xf numFmtId="0" fontId="13" fillId="3" borderId="33" xfId="0" applyFont="1" applyFill="1" applyBorder="1" applyAlignment="1" applyProtection="1">
      <alignment horizontal="center" vertical="center"/>
      <protection locked="0"/>
    </xf>
    <xf numFmtId="170" fontId="11" fillId="2" borderId="34" xfId="0" applyNumberFormat="1" applyFont="1" applyFill="1" applyBorder="1" applyAlignment="1">
      <alignment horizontal="center" vertical="center"/>
    </xf>
    <xf numFmtId="170" fontId="11" fillId="2" borderId="35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right" vertical="center"/>
    </xf>
    <xf numFmtId="1" fontId="12" fillId="6" borderId="36" xfId="0" applyNumberFormat="1" applyFont="1" applyFill="1" applyBorder="1" applyAlignment="1">
      <alignment horizontal="center" vertical="center"/>
    </xf>
    <xf numFmtId="170" fontId="12" fillId="6" borderId="37" xfId="0" applyNumberFormat="1" applyFont="1" applyFill="1" applyBorder="1" applyAlignment="1">
      <alignment horizontal="center" vertical="center"/>
    </xf>
    <xf numFmtId="1" fontId="12" fillId="6" borderId="38" xfId="0" applyNumberFormat="1" applyFont="1" applyFill="1" applyBorder="1" applyAlignment="1">
      <alignment horizontal="center" vertical="center"/>
    </xf>
    <xf numFmtId="170" fontId="12" fillId="6" borderId="3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40" xfId="0" applyFont="1" applyFill="1" applyBorder="1" applyAlignment="1">
      <alignment horizontal="right" vertical="center"/>
    </xf>
    <xf numFmtId="2" fontId="13" fillId="3" borderId="4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11" fillId="2" borderId="25" xfId="0" applyFont="1" applyFill="1" applyBorder="1" applyAlignment="1">
      <alignment horizontal="right" vertical="center"/>
    </xf>
    <xf numFmtId="2" fontId="11" fillId="6" borderId="4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4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1" fillId="7" borderId="42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43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0" fontId="13" fillId="3" borderId="42" xfId="0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36" xfId="0" applyFont="1" applyFill="1" applyBorder="1" applyAlignment="1">
      <alignment horizontal="right" vertical="center"/>
    </xf>
    <xf numFmtId="2" fontId="11" fillId="7" borderId="27" xfId="0" applyNumberFormat="1" applyFont="1" applyFill="1" applyBorder="1" applyAlignment="1">
      <alignment horizontal="center" vertical="center"/>
    </xf>
    <xf numFmtId="170" fontId="11" fillId="2" borderId="0" xfId="0" applyNumberFormat="1" applyFont="1" applyFill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70" fontId="12" fillId="7" borderId="16" xfId="0" applyNumberFormat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right" vertical="center"/>
    </xf>
    <xf numFmtId="10" fontId="11" fillId="6" borderId="43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3" fillId="3" borderId="21" xfId="0" applyFont="1" applyFill="1" applyBorder="1" applyAlignment="1" applyProtection="1">
      <alignment horizontal="center" vertical="center"/>
      <protection locked="0"/>
    </xf>
    <xf numFmtId="2" fontId="11" fillId="2" borderId="21" xfId="0" applyNumberFormat="1" applyFont="1" applyFill="1" applyBorder="1" applyAlignment="1">
      <alignment horizontal="center" vertic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2" fontId="11" fillId="2" borderId="2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3" fillId="3" borderId="44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10" fontId="11" fillId="2" borderId="45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right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6" xfId="0" applyFont="1" applyFill="1" applyBorder="1" applyAlignment="1">
      <alignment horizontal="right" vertical="center"/>
    </xf>
    <xf numFmtId="10" fontId="13" fillId="7" borderId="32" xfId="0" applyNumberFormat="1" applyFont="1" applyFill="1" applyBorder="1" applyAlignment="1">
      <alignment horizontal="center" vertical="center"/>
    </xf>
    <xf numFmtId="10" fontId="13" fillId="6" borderId="47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3" fillId="7" borderId="4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right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0" fontId="13" fillId="3" borderId="33" xfId="0" applyNumberFormat="1" applyFont="1" applyFill="1" applyBorder="1" applyAlignment="1" applyProtection="1">
      <alignment horizontal="center" vertical="center"/>
      <protection locked="0"/>
    </xf>
    <xf numFmtId="1" fontId="12" fillId="6" borderId="52" xfId="0" applyNumberFormat="1" applyFont="1" applyFill="1" applyBorder="1" applyAlignment="1">
      <alignment horizontal="center" vertical="center"/>
    </xf>
    <xf numFmtId="1" fontId="12" fillId="6" borderId="53" xfId="0" applyNumberFormat="1" applyFont="1" applyFill="1" applyBorder="1" applyAlignment="1">
      <alignment horizontal="center" vertical="center"/>
    </xf>
    <xf numFmtId="1" fontId="12" fillId="6" borderId="15" xfId="0" applyNumberFormat="1" applyFont="1" applyFill="1" applyBorder="1" applyAlignment="1">
      <alignment horizontal="center" vertical="center"/>
    </xf>
    <xf numFmtId="0" fontId="13" fillId="3" borderId="41" xfId="0" applyFont="1" applyFill="1" applyBorder="1" applyAlignment="1" applyProtection="1">
      <alignment horizontal="center" vertical="center"/>
      <protection locked="0"/>
    </xf>
    <xf numFmtId="166" fontId="11" fillId="6" borderId="42" xfId="0" applyNumberFormat="1" applyFont="1" applyFill="1" applyBorder="1" applyAlignment="1">
      <alignment horizontal="center" vertical="center"/>
    </xf>
    <xf numFmtId="166" fontId="11" fillId="6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42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27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vertical="center"/>
    </xf>
    <xf numFmtId="10" fontId="11" fillId="2" borderId="0" xfId="0" applyNumberFormat="1" applyFont="1" applyFill="1" applyAlignment="1">
      <alignment horizontal="center"/>
    </xf>
    <xf numFmtId="10" fontId="12" fillId="6" borderId="4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/>
    </xf>
    <xf numFmtId="1" fontId="13" fillId="3" borderId="30" xfId="0" applyNumberFormat="1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10" fontId="11" fillId="2" borderId="27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1" fontId="13" fillId="3" borderId="34" xfId="0" applyNumberFormat="1" applyFont="1" applyFill="1" applyBorder="1" applyAlignment="1" applyProtection="1">
      <alignment horizontal="center" vertical="center"/>
      <protection locked="0"/>
    </xf>
    <xf numFmtId="2" fontId="11" fillId="2" borderId="34" xfId="0" applyNumberFormat="1" applyFont="1" applyFill="1" applyBorder="1" applyAlignment="1">
      <alignment horizontal="center" vertical="center"/>
    </xf>
    <xf numFmtId="10" fontId="11" fillId="2" borderId="35" xfId="0" applyNumberFormat="1" applyFont="1" applyFill="1" applyBorder="1" applyAlignment="1">
      <alignment horizontal="center" vertical="center"/>
    </xf>
    <xf numFmtId="2" fontId="11" fillId="2" borderId="24" xfId="0" applyNumberFormat="1" applyFont="1" applyFill="1" applyBorder="1" applyAlignment="1">
      <alignment horizontal="center" vertical="center"/>
    </xf>
    <xf numFmtId="170" fontId="12" fillId="2" borderId="0" xfId="0" applyNumberFormat="1" applyFont="1" applyFill="1" applyAlignment="1">
      <alignment horizontal="center" vertical="center"/>
    </xf>
    <xf numFmtId="170" fontId="11" fillId="2" borderId="2" xfId="0" applyNumberFormat="1" applyFont="1" applyFill="1" applyBorder="1" applyAlignment="1">
      <alignment horizontal="right" vertical="center"/>
    </xf>
    <xf numFmtId="10" fontId="13" fillId="7" borderId="42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10" fontId="13" fillId="6" borderId="42" xfId="0" applyNumberFormat="1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vertical="center"/>
    </xf>
    <xf numFmtId="0" fontId="11" fillId="2" borderId="56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right" vertical="center"/>
    </xf>
    <xf numFmtId="0" fontId="13" fillId="7" borderId="17" xfId="0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10" fontId="11" fillId="2" borderId="28" xfId="0" applyNumberFormat="1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8" xfId="0" applyFont="1" applyFill="1" applyBorder="1" applyAlignment="1">
      <alignment horizontal="right" vertic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165" fontId="13" fillId="2" borderId="0" xfId="0" applyNumberFormat="1" applyFont="1" applyFill="1" applyAlignment="1">
      <alignment horizontal="center" vertical="center"/>
    </xf>
    <xf numFmtId="2" fontId="22" fillId="2" borderId="4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168" fontId="13" fillId="3" borderId="0" xfId="0" applyNumberFormat="1" applyFont="1" applyFill="1" applyAlignment="1" applyProtection="1">
      <alignment horizontal="left" vertical="center"/>
      <protection locked="0"/>
    </xf>
    <xf numFmtId="168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2" fontId="13" fillId="3" borderId="0" xfId="0" applyNumberFormat="1" applyFont="1" applyFill="1" applyAlignment="1" applyProtection="1">
      <alignment horizontal="center" vertical="center"/>
      <protection locked="0"/>
    </xf>
    <xf numFmtId="2" fontId="12" fillId="2" borderId="0" xfId="0" applyNumberFormat="1" applyFont="1" applyFill="1" applyAlignment="1">
      <alignment horizontal="center" vertical="center"/>
    </xf>
    <xf numFmtId="169" fontId="12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1" fillId="2" borderId="21" xfId="0" applyFont="1" applyFill="1" applyBorder="1" applyAlignment="1">
      <alignment horizontal="right" vertical="center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horizontal="right" vertical="center"/>
    </xf>
    <xf numFmtId="0" fontId="13" fillId="3" borderId="24" xfId="0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3" fillId="3" borderId="29" xfId="0" applyFont="1" applyFill="1" applyBorder="1" applyAlignment="1" applyProtection="1">
      <alignment horizontal="center" vertical="center"/>
      <protection locked="0"/>
    </xf>
    <xf numFmtId="170" fontId="11" fillId="2" borderId="26" xfId="0" applyNumberFormat="1" applyFont="1" applyFill="1" applyBorder="1" applyAlignment="1">
      <alignment horizontal="center" vertical="center"/>
    </xf>
    <xf numFmtId="170" fontId="11" fillId="2" borderId="27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170" fontId="11" fillId="2" borderId="30" xfId="0" applyNumberFormat="1" applyFont="1" applyFill="1" applyBorder="1" applyAlignment="1">
      <alignment horizontal="center" vertical="center"/>
    </xf>
    <xf numFmtId="170" fontId="11" fillId="2" borderId="31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3" fillId="3" borderId="33" xfId="0" applyFont="1" applyFill="1" applyBorder="1" applyAlignment="1" applyProtection="1">
      <alignment horizontal="center" vertical="center"/>
      <protection locked="0"/>
    </xf>
    <xf numFmtId="170" fontId="11" fillId="2" borderId="34" xfId="0" applyNumberFormat="1" applyFont="1" applyFill="1" applyBorder="1" applyAlignment="1">
      <alignment horizontal="center" vertical="center"/>
    </xf>
    <xf numFmtId="170" fontId="11" fillId="2" borderId="35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right" vertical="center"/>
    </xf>
    <xf numFmtId="1" fontId="12" fillId="6" borderId="36" xfId="0" applyNumberFormat="1" applyFont="1" applyFill="1" applyBorder="1" applyAlignment="1">
      <alignment horizontal="center" vertical="center"/>
    </xf>
    <xf numFmtId="170" fontId="12" fillId="6" borderId="37" xfId="0" applyNumberFormat="1" applyFont="1" applyFill="1" applyBorder="1" applyAlignment="1">
      <alignment horizontal="center" vertical="center"/>
    </xf>
    <xf numFmtId="1" fontId="12" fillId="6" borderId="38" xfId="0" applyNumberFormat="1" applyFont="1" applyFill="1" applyBorder="1" applyAlignment="1">
      <alignment horizontal="center" vertical="center"/>
    </xf>
    <xf numFmtId="170" fontId="12" fillId="6" borderId="39" xfId="0" applyNumberFormat="1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right" vertical="center"/>
    </xf>
    <xf numFmtId="2" fontId="13" fillId="3" borderId="41" xfId="0" applyNumberFormat="1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11" fillId="2" borderId="25" xfId="0" applyFont="1" applyFill="1" applyBorder="1" applyAlignment="1">
      <alignment horizontal="right" vertical="center"/>
    </xf>
    <xf numFmtId="2" fontId="11" fillId="6" borderId="42" xfId="0" applyNumberFormat="1" applyFont="1" applyFill="1" applyBorder="1" applyAlignment="1">
      <alignment horizontal="center" vertical="center"/>
    </xf>
    <xf numFmtId="2" fontId="11" fillId="6" borderId="43" xfId="0" applyNumberFormat="1" applyFont="1" applyFill="1" applyBorder="1" applyAlignment="1">
      <alignment horizontal="center" vertical="center"/>
    </xf>
    <xf numFmtId="2" fontId="11" fillId="7" borderId="42" xfId="0" applyNumberFormat="1" applyFont="1" applyFill="1" applyBorder="1" applyAlignment="1">
      <alignment horizontal="center" vertical="center"/>
    </xf>
    <xf numFmtId="2" fontId="11" fillId="7" borderId="43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0" fontId="13" fillId="3" borderId="42" xfId="0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36" xfId="0" applyFont="1" applyFill="1" applyBorder="1" applyAlignment="1">
      <alignment horizontal="right" vertical="center"/>
    </xf>
    <xf numFmtId="170" fontId="11" fillId="2" borderId="0" xfId="0" applyNumberFormat="1" applyFont="1" applyFill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70" fontId="12" fillId="7" borderId="16" xfId="0" applyNumberFormat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right" vertical="center"/>
    </xf>
    <xf numFmtId="10" fontId="11" fillId="6" borderId="43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3" fillId="3" borderId="21" xfId="0" applyFont="1" applyFill="1" applyBorder="1" applyAlignment="1" applyProtection="1">
      <alignment horizontal="center" vertical="center"/>
      <protection locked="0"/>
    </xf>
    <xf numFmtId="2" fontId="11" fillId="2" borderId="21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2" fontId="11" fillId="2" borderId="23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3" fillId="3" borderId="44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right" vertical="center"/>
    </xf>
    <xf numFmtId="0" fontId="11" fillId="2" borderId="46" xfId="0" applyFont="1" applyFill="1" applyBorder="1" applyAlignment="1">
      <alignment horizontal="right" vertical="center"/>
    </xf>
    <xf numFmtId="10" fontId="13" fillId="7" borderId="32" xfId="0" applyNumberFormat="1" applyFont="1" applyFill="1" applyBorder="1" applyAlignment="1">
      <alignment horizontal="center" vertical="center"/>
    </xf>
    <xf numFmtId="10" fontId="13" fillId="6" borderId="47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3" fillId="7" borderId="4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2" borderId="50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170" fontId="13" fillId="3" borderId="33" xfId="0" applyNumberFormat="1" applyFont="1" applyFill="1" applyBorder="1" applyAlignment="1" applyProtection="1">
      <alignment horizontal="center" vertical="center"/>
      <protection locked="0"/>
    </xf>
    <xf numFmtId="1" fontId="12" fillId="6" borderId="52" xfId="0" applyNumberFormat="1" applyFont="1" applyFill="1" applyBorder="1" applyAlignment="1">
      <alignment horizontal="center" vertical="center"/>
    </xf>
    <xf numFmtId="1" fontId="12" fillId="6" borderId="53" xfId="0" applyNumberFormat="1" applyFont="1" applyFill="1" applyBorder="1" applyAlignment="1">
      <alignment horizontal="center" vertical="center"/>
    </xf>
    <xf numFmtId="1" fontId="12" fillId="6" borderId="15" xfId="0" applyNumberFormat="1" applyFont="1" applyFill="1" applyBorder="1" applyAlignment="1">
      <alignment horizontal="center" vertical="center"/>
    </xf>
    <xf numFmtId="0" fontId="13" fillId="3" borderId="41" xfId="0" applyFont="1" applyFill="1" applyBorder="1" applyAlignment="1" applyProtection="1">
      <alignment horizontal="center" vertical="center"/>
      <protection locked="0"/>
    </xf>
    <xf numFmtId="166" fontId="11" fillId="6" borderId="42" xfId="0" applyNumberFormat="1" applyFont="1" applyFill="1" applyBorder="1" applyAlignment="1">
      <alignment horizontal="center" vertical="center"/>
    </xf>
    <xf numFmtId="166" fontId="11" fillId="6" borderId="17" xfId="0" applyNumberFormat="1" applyFont="1" applyFill="1" applyBorder="1" applyAlignment="1">
      <alignment horizontal="center" vertical="center"/>
    </xf>
    <xf numFmtId="166" fontId="11" fillId="7" borderId="42" xfId="0" applyNumberFormat="1" applyFont="1" applyFill="1" applyBorder="1" applyAlignment="1">
      <alignment horizontal="center" vertical="center"/>
    </xf>
    <xf numFmtId="2" fontId="11" fillId="7" borderId="2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0" fontId="12" fillId="6" borderId="4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/>
    </xf>
    <xf numFmtId="1" fontId="13" fillId="3" borderId="30" xfId="0" applyNumberFormat="1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10" fontId="11" fillId="2" borderId="27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1" fontId="13" fillId="3" borderId="34" xfId="0" applyNumberFormat="1" applyFont="1" applyFill="1" applyBorder="1" applyAlignment="1" applyProtection="1">
      <alignment horizontal="center" vertical="center"/>
      <protection locked="0"/>
    </xf>
    <xf numFmtId="2" fontId="11" fillId="2" borderId="34" xfId="0" applyNumberFormat="1" applyFont="1" applyFill="1" applyBorder="1" applyAlignment="1">
      <alignment horizontal="center" vertical="center"/>
    </xf>
    <xf numFmtId="10" fontId="11" fillId="2" borderId="35" xfId="0" applyNumberFormat="1" applyFont="1" applyFill="1" applyBorder="1" applyAlignment="1">
      <alignment horizontal="center" vertical="center"/>
    </xf>
    <xf numFmtId="2" fontId="11" fillId="2" borderId="24" xfId="0" applyNumberFormat="1" applyFont="1" applyFill="1" applyBorder="1" applyAlignment="1">
      <alignment horizontal="center" vertical="center"/>
    </xf>
    <xf numFmtId="170" fontId="12" fillId="2" borderId="0" xfId="0" applyNumberFormat="1" applyFont="1" applyFill="1" applyAlignment="1">
      <alignment horizontal="center" vertical="center"/>
    </xf>
    <xf numFmtId="170" fontId="11" fillId="2" borderId="2" xfId="0" applyNumberFormat="1" applyFont="1" applyFill="1" applyBorder="1" applyAlignment="1">
      <alignment horizontal="right" vertical="center"/>
    </xf>
    <xf numFmtId="10" fontId="13" fillId="7" borderId="42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10" fontId="13" fillId="6" borderId="42" xfId="0" applyNumberFormat="1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vertical="center"/>
    </xf>
    <xf numFmtId="0" fontId="11" fillId="2" borderId="56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right" vertical="center"/>
    </xf>
    <xf numFmtId="0" fontId="13" fillId="7" borderId="17" xfId="0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10" fontId="11" fillId="2" borderId="28" xfId="0" applyNumberFormat="1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8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1" fillId="2" borderId="7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vertical="center"/>
      <protection locked="0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165" fontId="13" fillId="2" borderId="0" xfId="0" applyNumberFormat="1" applyFont="1" applyFill="1" applyAlignment="1">
      <alignment horizontal="center" vertical="center"/>
    </xf>
    <xf numFmtId="2" fontId="22" fillId="2" borderId="45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horizontal="left" vertical="center" wrapText="1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5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2" fillId="2" borderId="0" xfId="0" applyFont="1" applyFill="1"/>
    <xf numFmtId="0" fontId="12" fillId="2" borderId="0" xfId="0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8" fillId="2" borderId="9" xfId="0" applyFont="1" applyFill="1" applyBorder="1" applyAlignment="1">
      <alignment horizontal="left" vertical="center" wrapText="1"/>
    </xf>
    <xf numFmtId="164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24" fillId="2" borderId="0" xfId="2" applyFill="1"/>
    <xf numFmtId="0" fontId="11" fillId="2" borderId="0" xfId="2" applyFont="1" applyFill="1"/>
    <xf numFmtId="0" fontId="3" fillId="2" borderId="0" xfId="2" applyFont="1" applyFill="1"/>
    <xf numFmtId="0" fontId="12" fillId="2" borderId="0" xfId="2" applyFont="1" applyFill="1"/>
    <xf numFmtId="0" fontId="13" fillId="3" borderId="0" xfId="2" applyFont="1" applyFill="1" applyAlignment="1" applyProtection="1">
      <alignment horizontal="left" vertical="center"/>
      <protection locked="0"/>
    </xf>
    <xf numFmtId="0" fontId="22" fillId="3" borderId="0" xfId="2" applyFont="1" applyFill="1" applyProtection="1">
      <protection locked="0"/>
    </xf>
    <xf numFmtId="0" fontId="11" fillId="3" borderId="0" xfId="2" applyFont="1" applyFill="1" applyProtection="1">
      <protection locked="0"/>
    </xf>
    <xf numFmtId="168" fontId="22" fillId="3" borderId="0" xfId="2" applyNumberFormat="1" applyFont="1" applyFill="1" applyAlignment="1" applyProtection="1">
      <alignment horizontal="left"/>
      <protection locked="0"/>
    </xf>
    <xf numFmtId="0" fontId="22" fillId="2" borderId="0" xfId="2" applyFont="1" applyFill="1"/>
    <xf numFmtId="168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22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horizontal="center"/>
    </xf>
    <xf numFmtId="0" fontId="15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2" fontId="12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69" fontId="12" fillId="2" borderId="0" xfId="2" applyNumberFormat="1" applyFont="1" applyFill="1" applyAlignment="1">
      <alignment horizontal="center"/>
    </xf>
    <xf numFmtId="0" fontId="17" fillId="2" borderId="0" xfId="2" applyFont="1" applyFill="1"/>
    <xf numFmtId="0" fontId="11" fillId="2" borderId="21" xfId="2" applyFont="1" applyFill="1" applyBorder="1" applyAlignment="1">
      <alignment horizontal="right"/>
    </xf>
    <xf numFmtId="0" fontId="13" fillId="3" borderId="60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31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0" fontId="11" fillId="2" borderId="26" xfId="2" applyNumberFormat="1" applyFont="1" applyFill="1" applyBorder="1" applyAlignment="1">
      <alignment horizontal="center"/>
    </xf>
    <xf numFmtId="170" fontId="11" fillId="2" borderId="27" xfId="2" applyNumberFormat="1" applyFont="1" applyFill="1" applyBorder="1" applyAlignment="1">
      <alignment horizontal="center"/>
    </xf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0" fontId="11" fillId="2" borderId="30" xfId="2" applyNumberFormat="1" applyFont="1" applyFill="1" applyBorder="1" applyAlignment="1">
      <alignment horizontal="center"/>
    </xf>
    <xf numFmtId="170" fontId="11" fillId="2" borderId="31" xfId="2" applyNumberFormat="1" applyFont="1" applyFill="1" applyBorder="1" applyAlignment="1">
      <alignment horizontal="center"/>
    </xf>
    <xf numFmtId="0" fontId="11" fillId="2" borderId="32" xfId="2" applyFont="1" applyFill="1" applyBorder="1" applyAlignment="1">
      <alignment horizontal="center"/>
    </xf>
    <xf numFmtId="0" fontId="13" fillId="3" borderId="33" xfId="2" applyFont="1" applyFill="1" applyBorder="1" applyAlignment="1" applyProtection="1">
      <alignment horizontal="center"/>
      <protection locked="0"/>
    </xf>
    <xf numFmtId="170" fontId="11" fillId="2" borderId="34" xfId="2" applyNumberFormat="1" applyFont="1" applyFill="1" applyBorder="1" applyAlignment="1">
      <alignment horizontal="center"/>
    </xf>
    <xf numFmtId="170" fontId="11" fillId="2" borderId="35" xfId="2" applyNumberFormat="1" applyFont="1" applyFill="1" applyBorder="1" applyAlignment="1">
      <alignment horizontal="center"/>
    </xf>
    <xf numFmtId="0" fontId="11" fillId="2" borderId="24" xfId="2" applyFont="1" applyFill="1" applyBorder="1" applyAlignment="1">
      <alignment horizontal="right"/>
    </xf>
    <xf numFmtId="1" fontId="12" fillId="6" borderId="38" xfId="2" applyNumberFormat="1" applyFont="1" applyFill="1" applyBorder="1" applyAlignment="1">
      <alignment horizontal="center"/>
    </xf>
    <xf numFmtId="170" fontId="12" fillId="6" borderId="37" xfId="2" applyNumberFormat="1" applyFont="1" applyFill="1" applyBorder="1" applyAlignment="1">
      <alignment horizontal="center"/>
    </xf>
    <xf numFmtId="170" fontId="12" fillId="6" borderId="39" xfId="2" applyNumberFormat="1" applyFont="1" applyFill="1" applyBorder="1" applyAlignment="1">
      <alignment horizontal="center"/>
    </xf>
    <xf numFmtId="0" fontId="11" fillId="2" borderId="5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3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0" fontId="11" fillId="2" borderId="39" xfId="2" applyFont="1" applyFill="1" applyBorder="1" applyAlignment="1">
      <alignment horizontal="center"/>
    </xf>
    <xf numFmtId="2" fontId="11" fillId="7" borderId="43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2" fontId="11" fillId="6" borderId="17" xfId="2" applyNumberFormat="1" applyFont="1" applyFill="1" applyBorder="1" applyAlignment="1">
      <alignment horizontal="center"/>
    </xf>
    <xf numFmtId="0" fontId="11" fillId="2" borderId="61" xfId="2" applyFont="1" applyFill="1" applyBorder="1" applyAlignment="1">
      <alignment horizontal="right"/>
    </xf>
    <xf numFmtId="0" fontId="13" fillId="3" borderId="43" xfId="2" applyFont="1" applyFill="1" applyBorder="1" applyAlignment="1" applyProtection="1">
      <alignment horizontal="center"/>
      <protection locked="0"/>
    </xf>
    <xf numFmtId="1" fontId="11" fillId="2" borderId="0" xfId="2" applyNumberFormat="1" applyFont="1" applyFill="1" applyAlignment="1">
      <alignment horizontal="center"/>
    </xf>
    <xf numFmtId="0" fontId="11" fillId="2" borderId="29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0" fontId="12" fillId="7" borderId="13" xfId="2" applyNumberFormat="1" applyFont="1" applyFill="1" applyBorder="1" applyAlignment="1">
      <alignment horizontal="center"/>
    </xf>
    <xf numFmtId="170" fontId="11" fillId="2" borderId="0" xfId="2" applyNumberFormat="1" applyFont="1" applyFill="1" applyAlignment="1">
      <alignment horizontal="center"/>
    </xf>
    <xf numFmtId="10" fontId="11" fillId="6" borderId="43" xfId="2" applyNumberFormat="1" applyFont="1" applyFill="1" applyBorder="1" applyAlignment="1">
      <alignment horizontal="center"/>
    </xf>
    <xf numFmtId="0" fontId="11" fillId="2" borderId="44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0" fontId="4" fillId="2" borderId="0" xfId="2" applyFont="1" applyFill="1"/>
    <xf numFmtId="0" fontId="6" fillId="2" borderId="0" xfId="2" applyFont="1" applyFill="1"/>
    <xf numFmtId="0" fontId="12" fillId="2" borderId="62" xfId="2" applyFont="1" applyFill="1" applyBorder="1" applyAlignment="1">
      <alignment horizontal="center"/>
    </xf>
    <xf numFmtId="0" fontId="12" fillId="7" borderId="54" xfId="2" applyFont="1" applyFill="1" applyBorder="1" applyAlignment="1">
      <alignment horizontal="center"/>
    </xf>
    <xf numFmtId="0" fontId="12" fillId="7" borderId="10" xfId="2" applyFont="1" applyFill="1" applyBorder="1" applyAlignment="1">
      <alignment horizontal="center"/>
    </xf>
    <xf numFmtId="0" fontId="12" fillId="7" borderId="55" xfId="2" applyFont="1" applyFill="1" applyBorder="1" applyAlignment="1">
      <alignment horizontal="center" wrapText="1"/>
    </xf>
    <xf numFmtId="0" fontId="12" fillId="7" borderId="22" xfId="2" applyFont="1" applyFill="1" applyBorder="1" applyAlignment="1">
      <alignment horizontal="center" wrapText="1"/>
    </xf>
    <xf numFmtId="0" fontId="11" fillId="2" borderId="29" xfId="2" applyFont="1" applyFill="1" applyBorder="1" applyAlignment="1">
      <alignment horizontal="center"/>
    </xf>
    <xf numFmtId="0" fontId="22" fillId="3" borderId="4" xfId="2" applyFont="1" applyFill="1" applyBorder="1" applyAlignment="1" applyProtection="1">
      <alignment horizontal="center" wrapText="1"/>
      <protection locked="0"/>
    </xf>
    <xf numFmtId="2" fontId="11" fillId="2" borderId="26" xfId="2" applyNumberFormat="1" applyFont="1" applyFill="1" applyBorder="1" applyAlignment="1">
      <alignment horizontal="center"/>
    </xf>
    <xf numFmtId="2" fontId="11" fillId="2" borderId="4" xfId="2" applyNumberFormat="1" applyFont="1" applyFill="1" applyBorder="1" applyAlignment="1">
      <alignment horizontal="center"/>
    </xf>
    <xf numFmtId="2" fontId="11" fillId="2" borderId="28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0" fontId="22" fillId="3" borderId="3" xfId="2" applyFont="1" applyFill="1" applyBorder="1" applyAlignment="1" applyProtection="1">
      <alignment horizontal="center" wrapText="1"/>
      <protection locked="0"/>
    </xf>
    <xf numFmtId="2" fontId="11" fillId="2" borderId="30" xfId="2" applyNumberFormat="1" applyFont="1" applyFill="1" applyBorder="1" applyAlignment="1">
      <alignment horizontal="center"/>
    </xf>
    <xf numFmtId="2" fontId="11" fillId="2" borderId="3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0" fontId="11" fillId="2" borderId="44" xfId="2" applyFont="1" applyFill="1" applyBorder="1" applyAlignment="1">
      <alignment horizontal="center"/>
    </xf>
    <xf numFmtId="0" fontId="22" fillId="3" borderId="63" xfId="2" applyFont="1" applyFill="1" applyBorder="1" applyAlignment="1" applyProtection="1">
      <alignment horizontal="center" wrapText="1"/>
      <protection locked="0"/>
    </xf>
    <xf numFmtId="2" fontId="11" fillId="2" borderId="37" xfId="2" applyNumberFormat="1" applyFont="1" applyFill="1" applyBorder="1" applyAlignment="1">
      <alignment horizontal="center"/>
    </xf>
    <xf numFmtId="2" fontId="11" fillId="2" borderId="63" xfId="2" applyNumberFormat="1" applyFont="1" applyFill="1" applyBorder="1" applyAlignment="1">
      <alignment horizontal="center"/>
    </xf>
    <xf numFmtId="2" fontId="11" fillId="2" borderId="45" xfId="2" applyNumberFormat="1" applyFont="1" applyFill="1" applyBorder="1" applyAlignment="1">
      <alignment horizontal="center"/>
    </xf>
    <xf numFmtId="0" fontId="11" fillId="2" borderId="24" xfId="2" applyFont="1" applyFill="1" applyBorder="1"/>
    <xf numFmtId="10" fontId="12" fillId="2" borderId="0" xfId="2" applyNumberFormat="1" applyFont="1" applyFill="1" applyAlignment="1">
      <alignment horizontal="center"/>
    </xf>
    <xf numFmtId="2" fontId="12" fillId="5" borderId="42" xfId="2" applyNumberFormat="1" applyFont="1" applyFill="1" applyBorder="1" applyAlignment="1">
      <alignment horizontal="center"/>
    </xf>
    <xf numFmtId="2" fontId="13" fillId="5" borderId="42" xfId="2" applyNumberFormat="1" applyFont="1" applyFill="1" applyBorder="1" applyAlignment="1">
      <alignment horizontal="center"/>
    </xf>
    <xf numFmtId="10" fontId="12" fillId="6" borderId="42" xfId="2" applyNumberFormat="1" applyFont="1" applyFill="1" applyBorder="1" applyAlignment="1">
      <alignment horizontal="center"/>
    </xf>
    <xf numFmtId="10" fontId="13" fillId="6" borderId="42" xfId="2" applyNumberFormat="1" applyFont="1" applyFill="1" applyBorder="1" applyAlignment="1">
      <alignment horizontal="center"/>
    </xf>
    <xf numFmtId="10" fontId="12" fillId="2" borderId="9" xfId="2" applyNumberFormat="1" applyFont="1" applyFill="1" applyBorder="1" applyAlignment="1">
      <alignment horizontal="center"/>
    </xf>
    <xf numFmtId="2" fontId="12" fillId="5" borderId="64" xfId="2" applyNumberFormat="1" applyFont="1" applyFill="1" applyBorder="1" applyAlignment="1">
      <alignment horizontal="center"/>
    </xf>
    <xf numFmtId="2" fontId="13" fillId="5" borderId="64" xfId="2" applyNumberFormat="1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171" fontId="12" fillId="2" borderId="0" xfId="2" applyNumberFormat="1" applyFont="1" applyFill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1" fillId="2" borderId="1" xfId="2" applyFont="1" applyFill="1" applyBorder="1" applyAlignment="1">
      <alignment horizontal="right"/>
    </xf>
    <xf numFmtId="2" fontId="11" fillId="2" borderId="1" xfId="2" applyNumberFormat="1" applyFont="1" applyFill="1" applyBorder="1" applyAlignment="1">
      <alignment horizontal="center"/>
    </xf>
    <xf numFmtId="0" fontId="22" fillId="3" borderId="1" xfId="2" applyFont="1" applyFill="1" applyBorder="1" applyAlignment="1" applyProtection="1">
      <alignment horizontal="center"/>
      <protection locked="0"/>
    </xf>
    <xf numFmtId="1" fontId="12" fillId="6" borderId="1" xfId="2" applyNumberFormat="1" applyFont="1" applyFill="1" applyBorder="1" applyAlignment="1">
      <alignment horizontal="center"/>
    </xf>
    <xf numFmtId="0" fontId="12" fillId="2" borderId="0" xfId="2" applyFont="1" applyFill="1" applyAlignment="1" applyProtection="1">
      <alignment horizontal="center"/>
      <protection locked="0"/>
    </xf>
    <xf numFmtId="0" fontId="16" fillId="2" borderId="0" xfId="2" applyFont="1" applyFill="1"/>
    <xf numFmtId="0" fontId="13" fillId="3" borderId="22" xfId="2" applyFont="1" applyFill="1" applyBorder="1" applyAlignment="1" applyProtection="1">
      <alignment horizontal="center"/>
      <protection locked="0"/>
    </xf>
    <xf numFmtId="0" fontId="12" fillId="2" borderId="49" xfId="2" applyFont="1" applyFill="1" applyBorder="1" applyAlignment="1">
      <alignment horizontal="center"/>
    </xf>
    <xf numFmtId="0" fontId="12" fillId="2" borderId="50" xfId="2" applyFont="1" applyFill="1" applyBorder="1" applyAlignment="1">
      <alignment horizontal="center"/>
    </xf>
    <xf numFmtId="0" fontId="13" fillId="3" borderId="24" xfId="2" applyFont="1" applyFill="1" applyBorder="1" applyAlignment="1" applyProtection="1">
      <alignment horizontal="center"/>
      <protection locked="0"/>
    </xf>
    <xf numFmtId="170" fontId="11" fillId="2" borderId="4" xfId="2" applyNumberFormat="1" applyFont="1" applyFill="1" applyBorder="1" applyAlignment="1">
      <alignment horizontal="center"/>
    </xf>
    <xf numFmtId="0" fontId="13" fillId="3" borderId="51" xfId="2" applyFont="1" applyFill="1" applyBorder="1" applyAlignment="1" applyProtection="1">
      <alignment horizontal="center"/>
      <protection locked="0"/>
    </xf>
    <xf numFmtId="170" fontId="11" fillId="2" borderId="3" xfId="2" applyNumberFormat="1" applyFont="1" applyFill="1" applyBorder="1" applyAlignment="1">
      <alignment horizontal="center"/>
    </xf>
    <xf numFmtId="170" fontId="13" fillId="3" borderId="0" xfId="2" applyNumberFormat="1" applyFont="1" applyFill="1" applyAlignment="1" applyProtection="1">
      <alignment horizontal="center"/>
      <protection locked="0"/>
    </xf>
    <xf numFmtId="170" fontId="11" fillId="2" borderId="5" xfId="2" applyNumberFormat="1" applyFont="1" applyFill="1" applyBorder="1" applyAlignment="1">
      <alignment horizontal="center"/>
    </xf>
    <xf numFmtId="170" fontId="13" fillId="3" borderId="7" xfId="2" applyNumberFormat="1" applyFont="1" applyFill="1" applyBorder="1" applyAlignment="1" applyProtection="1">
      <alignment horizontal="center"/>
      <protection locked="0"/>
    </xf>
    <xf numFmtId="170" fontId="12" fillId="6" borderId="53" xfId="2" applyNumberFormat="1" applyFont="1" applyFill="1" applyBorder="1" applyAlignment="1">
      <alignment horizontal="center"/>
    </xf>
    <xf numFmtId="170" fontId="12" fillId="6" borderId="15" xfId="2" applyNumberFormat="1" applyFont="1" applyFill="1" applyBorder="1" applyAlignment="1">
      <alignment horizontal="center"/>
    </xf>
    <xf numFmtId="0" fontId="13" fillId="3" borderId="41" xfId="2" applyFont="1" applyFill="1" applyBorder="1" applyAlignment="1" applyProtection="1">
      <alignment horizontal="center"/>
      <protection locked="0"/>
    </xf>
    <xf numFmtId="2" fontId="11" fillId="6" borderId="42" xfId="2" applyNumberFormat="1" applyFont="1" applyFill="1" applyBorder="1" applyAlignment="1">
      <alignment horizontal="center"/>
    </xf>
    <xf numFmtId="2" fontId="11" fillId="7" borderId="42" xfId="2" applyNumberFormat="1" applyFont="1" applyFill="1" applyBorder="1" applyAlignment="1">
      <alignment horizontal="center"/>
    </xf>
    <xf numFmtId="0" fontId="2" fillId="2" borderId="0" xfId="2" applyFont="1" applyFill="1"/>
    <xf numFmtId="0" fontId="11" fillId="2" borderId="65" xfId="2" applyFont="1" applyFill="1" applyBorder="1" applyAlignment="1">
      <alignment horizontal="right"/>
    </xf>
    <xf numFmtId="166" fontId="11" fillId="7" borderId="42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25" xfId="2" applyFont="1" applyFill="1" applyBorder="1" applyAlignment="1">
      <alignment horizontal="right"/>
    </xf>
    <xf numFmtId="0" fontId="11" fillId="2" borderId="36" xfId="2" applyFont="1" applyFill="1" applyBorder="1" applyAlignment="1">
      <alignment horizontal="right"/>
    </xf>
    <xf numFmtId="2" fontId="11" fillId="7" borderId="27" xfId="2" applyNumberFormat="1" applyFont="1" applyFill="1" applyBorder="1" applyAlignment="1">
      <alignment horizontal="center"/>
    </xf>
    <xf numFmtId="0" fontId="11" fillId="2" borderId="16" xfId="2" applyFont="1" applyFill="1" applyBorder="1" applyAlignment="1">
      <alignment horizontal="right"/>
    </xf>
    <xf numFmtId="170" fontId="12" fillId="7" borderId="16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10" fontId="12" fillId="6" borderId="43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/>
    <xf numFmtId="0" fontId="12" fillId="2" borderId="22" xfId="2" applyFont="1" applyFill="1" applyBorder="1" applyAlignment="1">
      <alignment horizontal="center" wrapText="1"/>
    </xf>
    <xf numFmtId="170" fontId="13" fillId="3" borderId="30" xfId="2" applyNumberFormat="1" applyFont="1" applyFill="1" applyBorder="1" applyAlignment="1" applyProtection="1">
      <alignment horizontal="center"/>
      <protection locked="0"/>
    </xf>
    <xf numFmtId="10" fontId="11" fillId="2" borderId="27" xfId="2" applyNumberFormat="1" applyFont="1" applyFill="1" applyBorder="1" applyAlignment="1">
      <alignment horizontal="center"/>
    </xf>
    <xf numFmtId="10" fontId="11" fillId="2" borderId="31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170" fontId="13" fillId="3" borderId="34" xfId="2" applyNumberFormat="1" applyFont="1" applyFill="1" applyBorder="1" applyAlignment="1" applyProtection="1">
      <alignment horizontal="center"/>
      <protection locked="0"/>
    </xf>
    <xf numFmtId="2" fontId="11" fillId="2" borderId="34" xfId="2" applyNumberFormat="1" applyFont="1" applyFill="1" applyBorder="1" applyAlignment="1">
      <alignment horizontal="center"/>
    </xf>
    <xf numFmtId="10" fontId="11" fillId="2" borderId="35" xfId="2" applyNumberFormat="1" applyFont="1" applyFill="1" applyBorder="1" applyAlignment="1">
      <alignment horizontal="center"/>
    </xf>
    <xf numFmtId="170" fontId="12" fillId="2" borderId="0" xfId="2" applyNumberFormat="1" applyFont="1" applyFill="1" applyAlignment="1">
      <alignment horizontal="center"/>
    </xf>
    <xf numFmtId="170" fontId="11" fillId="2" borderId="2" xfId="2" applyNumberFormat="1" applyFont="1" applyFill="1" applyBorder="1" applyAlignment="1">
      <alignment horizontal="right"/>
    </xf>
    <xf numFmtId="10" fontId="13" fillId="7" borderId="4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6" xfId="2" applyFont="1" applyFill="1" applyBorder="1"/>
    <xf numFmtId="0" fontId="11" fillId="2" borderId="44" xfId="2" applyFont="1" applyFill="1" applyBorder="1"/>
    <xf numFmtId="0" fontId="11" fillId="2" borderId="56" xfId="2" applyFont="1" applyFill="1" applyBorder="1" applyAlignment="1">
      <alignment horizontal="center"/>
    </xf>
    <xf numFmtId="0" fontId="11" fillId="2" borderId="57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8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2" fillId="2" borderId="1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166" fontId="13" fillId="3" borderId="30" xfId="0" applyNumberFormat="1" applyFont="1" applyFill="1" applyBorder="1" applyAlignment="1" applyProtection="1">
      <alignment horizontal="center" vertical="center"/>
      <protection locked="0"/>
    </xf>
    <xf numFmtId="166" fontId="13" fillId="3" borderId="34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7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8" fillId="2" borderId="45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2" borderId="49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8" fillId="2" borderId="45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3" fillId="3" borderId="0" xfId="2" applyFont="1" applyFill="1" applyAlignment="1" applyProtection="1">
      <alignment horizontal="left"/>
      <protection locked="0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 vertical="center"/>
      <protection locked="0"/>
    </xf>
    <xf numFmtId="0" fontId="22" fillId="3" borderId="0" xfId="2" applyFont="1" applyFill="1" applyAlignment="1" applyProtection="1">
      <alignment horizontal="left"/>
      <protection locked="0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12" fillId="2" borderId="49" xfId="2" applyFont="1" applyFill="1" applyBorder="1" applyAlignment="1">
      <alignment horizontal="center"/>
    </xf>
    <xf numFmtId="0" fontId="12" fillId="2" borderId="50" xfId="2" applyFont="1" applyFill="1" applyBorder="1" applyAlignment="1">
      <alignment horizontal="center"/>
    </xf>
    <xf numFmtId="0" fontId="12" fillId="2" borderId="59" xfId="2" applyFont="1" applyFill="1" applyBorder="1" applyAlignment="1">
      <alignment horizont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8" fillId="2" borderId="45" xfId="2" applyFont="1" applyFill="1" applyBorder="1" applyAlignment="1">
      <alignment horizontal="left" vertical="center" wrapText="1"/>
    </xf>
    <xf numFmtId="0" fontId="18" fillId="2" borderId="10" xfId="2" applyFont="1" applyFill="1" applyBorder="1" applyAlignment="1">
      <alignment horizontal="lef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2" xfId="2" applyFont="1" applyFill="1" applyBorder="1" applyAlignment="1">
      <alignment horizontal="center"/>
    </xf>
    <xf numFmtId="0" fontId="12" fillId="2" borderId="65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</cellXfs>
  <cellStyles count="3">
    <cellStyle name="Normal" xfId="0" builtinId="0"/>
    <cellStyle name="Normal 2" xfId="2"/>
    <cellStyle name="Normal 3" xfId="1"/>
  </cellStyles>
  <dxfs count="30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D2016061203-U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Pantoprazole Acid Stage"/>
      <sheetName val="Pantoprazole Buffer stage"/>
      <sheetName val="SST (ASSAY)"/>
      <sheetName val="Pantoprazole"/>
    </sheetNames>
    <sheetDataSet>
      <sheetData sheetId="0"/>
      <sheetData sheetId="1">
        <row r="46">
          <cell r="C46">
            <v>224.93250000000003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26" sqref="B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02" t="s">
        <v>0</v>
      </c>
      <c r="B15" s="602"/>
      <c r="C15" s="602"/>
      <c r="D15" s="602"/>
      <c r="E15" s="60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38" t="s">
        <v>5</v>
      </c>
      <c r="D17" s="9"/>
      <c r="E17" s="10"/>
    </row>
    <row r="18" spans="1:6" ht="16.5" customHeight="1" x14ac:dyDescent="0.3">
      <c r="A18" s="11" t="s">
        <v>4</v>
      </c>
      <c r="B18" s="43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437">
        <v>93.3</v>
      </c>
      <c r="C19" s="10"/>
      <c r="D19" s="10"/>
      <c r="E19" s="10"/>
    </row>
    <row r="20" spans="1:6" ht="16.5" customHeight="1" x14ac:dyDescent="0.3">
      <c r="A20" s="7" t="s">
        <v>8</v>
      </c>
      <c r="B20" s="437">
        <v>19.25</v>
      </c>
      <c r="C20" s="10"/>
      <c r="D20" s="10"/>
      <c r="E20" s="10"/>
    </row>
    <row r="21" spans="1:6" ht="16.5" customHeight="1" x14ac:dyDescent="0.3">
      <c r="A21" s="7" t="s">
        <v>9</v>
      </c>
      <c r="B21" s="436">
        <f>19.25/100</f>
        <v>0.1925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123012500</v>
      </c>
      <c r="C24" s="18">
        <v>4537</v>
      </c>
      <c r="D24" s="19">
        <v>1.2</v>
      </c>
      <c r="E24" s="20">
        <v>7.9</v>
      </c>
    </row>
    <row r="25" spans="1:6" ht="16.5" customHeight="1" x14ac:dyDescent="0.3">
      <c r="A25" s="17">
        <v>2</v>
      </c>
      <c r="B25" s="18">
        <v>123005066</v>
      </c>
      <c r="C25" s="18">
        <v>4538.2</v>
      </c>
      <c r="D25" s="19">
        <v>1.2</v>
      </c>
      <c r="E25" s="19">
        <v>7.9</v>
      </c>
    </row>
    <row r="26" spans="1:6" ht="16.5" customHeight="1" x14ac:dyDescent="0.3">
      <c r="A26" s="17">
        <v>3</v>
      </c>
      <c r="B26" s="18">
        <v>122960984</v>
      </c>
      <c r="C26" s="18">
        <v>4525.5</v>
      </c>
      <c r="D26" s="19">
        <v>1.1000000000000001</v>
      </c>
      <c r="E26" s="19">
        <v>7.9</v>
      </c>
    </row>
    <row r="27" spans="1:6" ht="16.5" customHeight="1" x14ac:dyDescent="0.3">
      <c r="A27" s="17">
        <v>4</v>
      </c>
      <c r="B27" s="18">
        <v>123064463</v>
      </c>
      <c r="C27" s="18">
        <v>4535.1000000000004</v>
      </c>
      <c r="D27" s="19">
        <v>1.2</v>
      </c>
      <c r="E27" s="19">
        <v>7.9</v>
      </c>
    </row>
    <row r="28" spans="1:6" ht="16.5" customHeight="1" x14ac:dyDescent="0.3">
      <c r="A28" s="17">
        <v>5</v>
      </c>
      <c r="B28" s="18">
        <v>123372402</v>
      </c>
      <c r="C28" s="18">
        <v>4537.3</v>
      </c>
      <c r="D28" s="19">
        <v>1.2</v>
      </c>
      <c r="E28" s="19">
        <v>7.9</v>
      </c>
    </row>
    <row r="29" spans="1:6" ht="16.5" customHeight="1" x14ac:dyDescent="0.3">
      <c r="A29" s="17">
        <v>6</v>
      </c>
      <c r="B29" s="21">
        <v>123131606</v>
      </c>
      <c r="C29" s="21">
        <v>4556.2</v>
      </c>
      <c r="D29" s="22">
        <v>1.2</v>
      </c>
      <c r="E29" s="22">
        <v>7.9</v>
      </c>
    </row>
    <row r="30" spans="1:6" ht="16.5" customHeight="1" x14ac:dyDescent="0.3">
      <c r="A30" s="23" t="s">
        <v>17</v>
      </c>
      <c r="B30" s="24">
        <f>AVERAGE(B24:B29)</f>
        <v>123091170.16666667</v>
      </c>
      <c r="C30" s="25">
        <f>AVERAGE(C24:C29)</f>
        <v>4538.2166666666672</v>
      </c>
      <c r="D30" s="26">
        <f>AVERAGE(D24:D29)</f>
        <v>1.1833333333333333</v>
      </c>
      <c r="E30" s="26">
        <f>AVERAGE(E24:E29)</f>
        <v>7.8999999999999995</v>
      </c>
    </row>
    <row r="31" spans="1:6" ht="16.5" customHeight="1" x14ac:dyDescent="0.3">
      <c r="A31" s="27" t="s">
        <v>18</v>
      </c>
      <c r="B31" s="28">
        <f>(STDEV(B24:B29)/B30)</f>
        <v>1.2158492322535532E-3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124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03" t="s">
        <v>25</v>
      </c>
      <c r="C59" s="60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7" t="s">
        <v>30</v>
      </c>
      <c r="B11" s="608"/>
      <c r="C11" s="608"/>
      <c r="D11" s="608"/>
      <c r="E11" s="608"/>
      <c r="F11" s="609"/>
      <c r="G11" s="91"/>
    </row>
    <row r="12" spans="1:7" ht="16.5" customHeight="1" x14ac:dyDescent="0.3">
      <c r="A12" s="606" t="s">
        <v>31</v>
      </c>
      <c r="B12" s="606"/>
      <c r="C12" s="606"/>
      <c r="D12" s="606"/>
      <c r="E12" s="606"/>
      <c r="F12" s="606"/>
      <c r="G12" s="90"/>
    </row>
    <row r="14" spans="1:7" ht="16.5" customHeight="1" x14ac:dyDescent="0.3">
      <c r="A14" s="611" t="s">
        <v>32</v>
      </c>
      <c r="B14" s="611"/>
      <c r="C14" s="60" t="s">
        <v>33</v>
      </c>
    </row>
    <row r="15" spans="1:7" ht="16.5" customHeight="1" x14ac:dyDescent="0.3">
      <c r="A15" s="611" t="s">
        <v>34</v>
      </c>
      <c r="B15" s="611"/>
      <c r="C15" s="60" t="s">
        <v>7</v>
      </c>
    </row>
    <row r="16" spans="1:7" ht="16.5" customHeight="1" x14ac:dyDescent="0.3">
      <c r="A16" s="611" t="s">
        <v>35</v>
      </c>
      <c r="B16" s="611"/>
      <c r="C16" s="60" t="s">
        <v>36</v>
      </c>
    </row>
    <row r="17" spans="1:5" ht="16.5" customHeight="1" x14ac:dyDescent="0.3">
      <c r="A17" s="611" t="s">
        <v>37</v>
      </c>
      <c r="B17" s="611"/>
      <c r="C17" s="60" t="s">
        <v>38</v>
      </c>
    </row>
    <row r="18" spans="1:5" ht="16.5" customHeight="1" x14ac:dyDescent="0.3">
      <c r="A18" s="611" t="s">
        <v>39</v>
      </c>
      <c r="B18" s="611"/>
      <c r="C18" s="97" t="s">
        <v>11</v>
      </c>
    </row>
    <row r="19" spans="1:5" ht="16.5" customHeight="1" x14ac:dyDescent="0.3">
      <c r="A19" s="611" t="s">
        <v>40</v>
      </c>
      <c r="B19" s="61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06" t="s">
        <v>1</v>
      </c>
      <c r="B21" s="606"/>
      <c r="C21" s="59" t="s">
        <v>41</v>
      </c>
      <c r="D21" s="66"/>
    </row>
    <row r="22" spans="1:5" ht="15.75" customHeight="1" x14ac:dyDescent="0.3">
      <c r="A22" s="610"/>
      <c r="B22" s="610"/>
      <c r="C22" s="57"/>
      <c r="D22" s="610"/>
      <c r="E22" s="610"/>
    </row>
    <row r="23" spans="1:5" ht="33.75" customHeight="1" x14ac:dyDescent="0.3">
      <c r="C23" s="86" t="s">
        <v>42</v>
      </c>
      <c r="D23" s="85" t="s">
        <v>43</v>
      </c>
      <c r="E23" s="52"/>
    </row>
    <row r="24" spans="1:5" ht="15.75" customHeight="1" x14ac:dyDescent="0.3">
      <c r="C24" s="95">
        <v>224.94</v>
      </c>
      <c r="D24" s="87">
        <f t="shared" ref="D24:D43" si="0">(C24-$C$46)/$C$46</f>
        <v>3.3343336334076918E-5</v>
      </c>
      <c r="E24" s="53"/>
    </row>
    <row r="25" spans="1:5" ht="15.75" customHeight="1" x14ac:dyDescent="0.3">
      <c r="C25" s="95">
        <v>229.65</v>
      </c>
      <c r="D25" s="88">
        <f t="shared" si="0"/>
        <v>2.0972958554232812E-2</v>
      </c>
      <c r="E25" s="53"/>
    </row>
    <row r="26" spans="1:5" ht="15.75" customHeight="1" x14ac:dyDescent="0.3">
      <c r="C26" s="95">
        <v>220.26</v>
      </c>
      <c r="D26" s="88">
        <f t="shared" si="0"/>
        <v>-2.077289853622772E-2</v>
      </c>
      <c r="E26" s="53"/>
    </row>
    <row r="27" spans="1:5" ht="15.75" customHeight="1" x14ac:dyDescent="0.3">
      <c r="C27" s="95">
        <v>222.04</v>
      </c>
      <c r="D27" s="88">
        <f t="shared" si="0"/>
        <v>-1.2859413379569607E-2</v>
      </c>
      <c r="E27" s="53"/>
    </row>
    <row r="28" spans="1:5" ht="15.75" customHeight="1" x14ac:dyDescent="0.3">
      <c r="C28" s="95">
        <v>219.55</v>
      </c>
      <c r="D28" s="88">
        <f t="shared" si="0"/>
        <v>-2.3929401042535076E-2</v>
      </c>
      <c r="E28" s="53"/>
    </row>
    <row r="29" spans="1:5" ht="15.75" customHeight="1" x14ac:dyDescent="0.3">
      <c r="C29" s="95">
        <v>219.36</v>
      </c>
      <c r="D29" s="88">
        <f t="shared" si="0"/>
        <v>-2.4774098896335649E-2</v>
      </c>
      <c r="E29" s="53"/>
    </row>
    <row r="30" spans="1:5" ht="15.75" customHeight="1" x14ac:dyDescent="0.3">
      <c r="C30" s="95">
        <v>230.99</v>
      </c>
      <c r="D30" s="88">
        <f t="shared" si="0"/>
        <v>2.6930301312615895E-2</v>
      </c>
      <c r="E30" s="53"/>
    </row>
    <row r="31" spans="1:5" ht="15.75" customHeight="1" x14ac:dyDescent="0.3">
      <c r="C31" s="95">
        <v>223.58</v>
      </c>
      <c r="D31" s="88">
        <f t="shared" si="0"/>
        <v>-6.0129149856068828E-3</v>
      </c>
      <c r="E31" s="53"/>
    </row>
    <row r="32" spans="1:5" ht="15.75" customHeight="1" x14ac:dyDescent="0.3">
      <c r="C32" s="95">
        <v>226.24</v>
      </c>
      <c r="D32" s="88">
        <f t="shared" si="0"/>
        <v>5.8128549676012848E-3</v>
      </c>
      <c r="E32" s="53"/>
    </row>
    <row r="33" spans="1:7" ht="15.75" customHeight="1" x14ac:dyDescent="0.3">
      <c r="C33" s="95">
        <v>224.94</v>
      </c>
      <c r="D33" s="88">
        <f t="shared" si="0"/>
        <v>3.3343336334076918E-5</v>
      </c>
      <c r="E33" s="53"/>
    </row>
    <row r="34" spans="1:7" ht="15.75" customHeight="1" x14ac:dyDescent="0.3">
      <c r="C34" s="95">
        <v>221.63</v>
      </c>
      <c r="D34" s="88">
        <f t="shared" si="0"/>
        <v>-1.4682182432507695E-2</v>
      </c>
      <c r="E34" s="53"/>
    </row>
    <row r="35" spans="1:7" ht="15.75" customHeight="1" x14ac:dyDescent="0.3">
      <c r="C35" s="95">
        <v>224.95</v>
      </c>
      <c r="D35" s="88">
        <f t="shared" si="0"/>
        <v>7.7801118113014618E-5</v>
      </c>
      <c r="E35" s="53"/>
    </row>
    <row r="36" spans="1:7" ht="15.75" customHeight="1" x14ac:dyDescent="0.3">
      <c r="C36" s="95">
        <v>228.64</v>
      </c>
      <c r="D36" s="88">
        <f t="shared" si="0"/>
        <v>1.6482722594555934E-2</v>
      </c>
      <c r="E36" s="53"/>
    </row>
    <row r="37" spans="1:7" ht="15.75" customHeight="1" x14ac:dyDescent="0.3">
      <c r="C37" s="95">
        <v>226.44</v>
      </c>
      <c r="D37" s="88">
        <f t="shared" si="0"/>
        <v>6.7020106031807965E-3</v>
      </c>
      <c r="E37" s="53"/>
    </row>
    <row r="38" spans="1:7" ht="15.75" customHeight="1" x14ac:dyDescent="0.3">
      <c r="C38" s="95">
        <v>228.02</v>
      </c>
      <c r="D38" s="88">
        <f t="shared" si="0"/>
        <v>1.3726340124259396E-2</v>
      </c>
      <c r="E38" s="53"/>
    </row>
    <row r="39" spans="1:7" ht="15.75" customHeight="1" x14ac:dyDescent="0.3">
      <c r="C39" s="95">
        <v>221.07</v>
      </c>
      <c r="D39" s="88">
        <f t="shared" si="0"/>
        <v>-1.7171818212130482E-2</v>
      </c>
      <c r="E39" s="53"/>
    </row>
    <row r="40" spans="1:7" ht="15.75" customHeight="1" x14ac:dyDescent="0.3">
      <c r="C40" s="95">
        <v>226.9</v>
      </c>
      <c r="D40" s="88">
        <f t="shared" si="0"/>
        <v>8.7470685650138259E-3</v>
      </c>
      <c r="E40" s="53"/>
    </row>
    <row r="41" spans="1:7" ht="15.75" customHeight="1" x14ac:dyDescent="0.3">
      <c r="C41" s="95">
        <v>226.32</v>
      </c>
      <c r="D41" s="88">
        <f t="shared" si="0"/>
        <v>6.168517221833039E-3</v>
      </c>
      <c r="E41" s="53"/>
    </row>
    <row r="42" spans="1:7" ht="15.75" customHeight="1" x14ac:dyDescent="0.3">
      <c r="C42" s="95">
        <v>226.74</v>
      </c>
      <c r="D42" s="88">
        <f t="shared" si="0"/>
        <v>8.0357440565501908E-3</v>
      </c>
      <c r="E42" s="53"/>
    </row>
    <row r="43" spans="1:7" ht="16.5" customHeight="1" x14ac:dyDescent="0.3">
      <c r="C43" s="96">
        <v>226.39</v>
      </c>
      <c r="D43" s="89">
        <f t="shared" si="0"/>
        <v>6.4797216942858553E-3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44</v>
      </c>
      <c r="C45" s="83">
        <f>SUM(C24:C44)</f>
        <v>4498.6500000000005</v>
      </c>
      <c r="D45" s="78"/>
      <c r="E45" s="54"/>
    </row>
    <row r="46" spans="1:7" ht="17.25" customHeight="1" x14ac:dyDescent="0.3">
      <c r="B46" s="82" t="s">
        <v>45</v>
      </c>
      <c r="C46" s="84">
        <f>AVERAGE(C24:C44)</f>
        <v>224.93250000000003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45</v>
      </c>
      <c r="C48" s="85" t="s">
        <v>46</v>
      </c>
      <c r="D48" s="80"/>
      <c r="G48" s="58"/>
    </row>
    <row r="49" spans="1:6" ht="17.25" customHeight="1" x14ac:dyDescent="0.3">
      <c r="B49" s="604">
        <f>C46</f>
        <v>224.93250000000003</v>
      </c>
      <c r="C49" s="93">
        <f>-IF(C46&lt;=80,10%,IF(C46&lt;250,7.5%,5%))</f>
        <v>-7.4999999999999997E-2</v>
      </c>
      <c r="D49" s="81">
        <f>IF(C46&lt;=80,C46*0.9,IF(C46&lt;250,C46*0.925,C46*0.95))</f>
        <v>208.06256250000004</v>
      </c>
    </row>
    <row r="50" spans="1:6" ht="17.25" customHeight="1" x14ac:dyDescent="0.3">
      <c r="B50" s="605"/>
      <c r="C50" s="94">
        <f>IF(C46&lt;=80, 10%, IF(C46&lt;250, 7.5%, 5%))</f>
        <v>7.4999999999999997E-2</v>
      </c>
      <c r="D50" s="81">
        <f>IF(C46&lt;=80, C46*1.1, IF(C46&lt;250, C46*1.075, C46*1.05))</f>
        <v>241.80243750000002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zoomScale="55" zoomScaleNormal="55" workbookViewId="0">
      <selection activeCell="D116" sqref="D116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430" customWidth="1"/>
    <col min="10" max="10" width="34.85546875" style="430" customWidth="1"/>
    <col min="11" max="11" width="9.140625" style="430"/>
    <col min="12" max="16384" width="9.140625" style="44"/>
  </cols>
  <sheetData>
    <row r="1" spans="1:8" ht="13.5" x14ac:dyDescent="0.25">
      <c r="A1" s="640" t="s">
        <v>47</v>
      </c>
      <c r="B1" s="640"/>
      <c r="C1" s="640"/>
      <c r="D1" s="640"/>
      <c r="E1" s="640"/>
      <c r="F1" s="640"/>
      <c r="G1" s="640"/>
      <c r="H1" s="640"/>
    </row>
    <row r="2" spans="1:8" ht="13.5" x14ac:dyDescent="0.25">
      <c r="A2" s="640"/>
      <c r="B2" s="640"/>
      <c r="C2" s="640"/>
      <c r="D2" s="640"/>
      <c r="E2" s="640"/>
      <c r="F2" s="640"/>
      <c r="G2" s="640"/>
      <c r="H2" s="640"/>
    </row>
    <row r="3" spans="1:8" ht="13.5" x14ac:dyDescent="0.25">
      <c r="A3" s="640"/>
      <c r="B3" s="640"/>
      <c r="C3" s="640"/>
      <c r="D3" s="640"/>
      <c r="E3" s="640"/>
      <c r="F3" s="640"/>
      <c r="G3" s="640"/>
      <c r="H3" s="640"/>
    </row>
    <row r="4" spans="1:8" ht="13.5" x14ac:dyDescent="0.25">
      <c r="A4" s="640"/>
      <c r="B4" s="640"/>
      <c r="C4" s="640"/>
      <c r="D4" s="640"/>
      <c r="E4" s="640"/>
      <c r="F4" s="640"/>
      <c r="G4" s="640"/>
      <c r="H4" s="640"/>
    </row>
    <row r="5" spans="1:8" ht="13.5" x14ac:dyDescent="0.25">
      <c r="A5" s="640"/>
      <c r="B5" s="640"/>
      <c r="C5" s="640"/>
      <c r="D5" s="640"/>
      <c r="E5" s="640"/>
      <c r="F5" s="640"/>
      <c r="G5" s="640"/>
      <c r="H5" s="640"/>
    </row>
    <row r="6" spans="1:8" ht="13.5" x14ac:dyDescent="0.25">
      <c r="A6" s="640"/>
      <c r="B6" s="640"/>
      <c r="C6" s="640"/>
      <c r="D6" s="640"/>
      <c r="E6" s="640"/>
      <c r="F6" s="640"/>
      <c r="G6" s="640"/>
      <c r="H6" s="640"/>
    </row>
    <row r="7" spans="1:8" ht="13.5" x14ac:dyDescent="0.25">
      <c r="A7" s="640"/>
      <c r="B7" s="640"/>
      <c r="C7" s="640"/>
      <c r="D7" s="640"/>
      <c r="E7" s="640"/>
      <c r="F7" s="640"/>
      <c r="G7" s="640"/>
      <c r="H7" s="640"/>
    </row>
    <row r="8" spans="1:8" ht="13.5" x14ac:dyDescent="0.25">
      <c r="A8" s="641" t="s">
        <v>48</v>
      </c>
      <c r="B8" s="641"/>
      <c r="C8" s="641"/>
      <c r="D8" s="641"/>
      <c r="E8" s="641"/>
      <c r="F8" s="641"/>
      <c r="G8" s="641"/>
      <c r="H8" s="641"/>
    </row>
    <row r="9" spans="1:8" ht="13.5" x14ac:dyDescent="0.25">
      <c r="A9" s="641"/>
      <c r="B9" s="641"/>
      <c r="C9" s="641"/>
      <c r="D9" s="641"/>
      <c r="E9" s="641"/>
      <c r="F9" s="641"/>
      <c r="G9" s="641"/>
      <c r="H9" s="641"/>
    </row>
    <row r="10" spans="1:8" ht="13.5" x14ac:dyDescent="0.25">
      <c r="A10" s="641"/>
      <c r="B10" s="641"/>
      <c r="C10" s="641"/>
      <c r="D10" s="641"/>
      <c r="E10" s="641"/>
      <c r="F10" s="641"/>
      <c r="G10" s="641"/>
      <c r="H10" s="641"/>
    </row>
    <row r="11" spans="1:8" ht="13.5" x14ac:dyDescent="0.25">
      <c r="A11" s="641"/>
      <c r="B11" s="641"/>
      <c r="C11" s="641"/>
      <c r="D11" s="641"/>
      <c r="E11" s="641"/>
      <c r="F11" s="641"/>
      <c r="G11" s="641"/>
      <c r="H11" s="641"/>
    </row>
    <row r="12" spans="1:8" ht="13.5" x14ac:dyDescent="0.25">
      <c r="A12" s="641"/>
      <c r="B12" s="641"/>
      <c r="C12" s="641"/>
      <c r="D12" s="641"/>
      <c r="E12" s="641"/>
      <c r="F12" s="641"/>
      <c r="G12" s="641"/>
      <c r="H12" s="641"/>
    </row>
    <row r="13" spans="1:8" ht="13.5" x14ac:dyDescent="0.25">
      <c r="A13" s="641"/>
      <c r="B13" s="641"/>
      <c r="C13" s="641"/>
      <c r="D13" s="641"/>
      <c r="E13" s="641"/>
      <c r="F13" s="641"/>
      <c r="G13" s="641"/>
      <c r="H13" s="641"/>
    </row>
    <row r="14" spans="1:8" ht="13.5" x14ac:dyDescent="0.25">
      <c r="A14" s="641"/>
      <c r="B14" s="641"/>
      <c r="C14" s="641"/>
      <c r="D14" s="641"/>
      <c r="E14" s="641"/>
      <c r="F14" s="641"/>
      <c r="G14" s="641"/>
      <c r="H14" s="641"/>
    </row>
    <row r="15" spans="1:8" ht="19.5" customHeight="1" thickBot="1" x14ac:dyDescent="0.35"/>
    <row r="16" spans="1:8" ht="19.5" customHeight="1" thickBot="1" x14ac:dyDescent="0.35">
      <c r="A16" s="642" t="s">
        <v>30</v>
      </c>
      <c r="B16" s="643"/>
      <c r="C16" s="643"/>
      <c r="D16" s="643"/>
      <c r="E16" s="643"/>
      <c r="F16" s="643"/>
      <c r="G16" s="643"/>
      <c r="H16" s="644"/>
    </row>
    <row r="17" spans="1:13" ht="20.25" customHeight="1" x14ac:dyDescent="0.25">
      <c r="A17" s="645" t="s">
        <v>49</v>
      </c>
      <c r="B17" s="645"/>
      <c r="C17" s="645"/>
      <c r="D17" s="645"/>
      <c r="E17" s="645"/>
      <c r="F17" s="645"/>
      <c r="G17" s="645"/>
      <c r="H17" s="645"/>
    </row>
    <row r="18" spans="1:13" ht="26.25" customHeight="1" x14ac:dyDescent="0.3">
      <c r="A18" s="279" t="s">
        <v>32</v>
      </c>
      <c r="B18" s="646" t="s">
        <v>5</v>
      </c>
      <c r="C18" s="646"/>
      <c r="D18" s="646"/>
      <c r="E18" s="646"/>
    </row>
    <row r="19" spans="1:13" ht="26.25" customHeight="1" x14ac:dyDescent="0.3">
      <c r="A19" s="279" t="s">
        <v>34</v>
      </c>
      <c r="B19" s="413" t="s">
        <v>7</v>
      </c>
      <c r="C19" s="368">
        <v>2</v>
      </c>
    </row>
    <row r="20" spans="1:13" ht="26.25" customHeight="1" x14ac:dyDescent="0.3">
      <c r="A20" s="279" t="s">
        <v>35</v>
      </c>
      <c r="B20" s="413" t="s">
        <v>123</v>
      </c>
    </row>
    <row r="21" spans="1:13" ht="26.25" customHeight="1" x14ac:dyDescent="0.25">
      <c r="A21" s="279" t="s">
        <v>37</v>
      </c>
      <c r="B21" s="646" t="s">
        <v>10</v>
      </c>
      <c r="C21" s="646"/>
      <c r="D21" s="646"/>
      <c r="E21" s="646"/>
      <c r="F21" s="646"/>
      <c r="G21" s="646"/>
      <c r="H21" s="646"/>
    </row>
    <row r="22" spans="1:13" ht="26.25" customHeight="1" x14ac:dyDescent="0.3">
      <c r="A22" s="279" t="s">
        <v>39</v>
      </c>
      <c r="B22" s="280">
        <v>42551</v>
      </c>
    </row>
    <row r="23" spans="1:13" ht="26.25" customHeight="1" x14ac:dyDescent="0.3">
      <c r="A23" s="279" t="s">
        <v>40</v>
      </c>
      <c r="B23" s="280">
        <v>42552</v>
      </c>
    </row>
    <row r="24" spans="1:13" ht="18.75" x14ac:dyDescent="0.3">
      <c r="A24" s="279"/>
      <c r="B24" s="281"/>
    </row>
    <row r="25" spans="1:13" ht="18.75" x14ac:dyDescent="0.3">
      <c r="A25" s="282" t="s">
        <v>1</v>
      </c>
      <c r="B25" s="281"/>
    </row>
    <row r="26" spans="1:13" ht="26.25" customHeight="1" x14ac:dyDescent="0.3">
      <c r="A26" s="406" t="s">
        <v>4</v>
      </c>
      <c r="B26" s="646" t="s">
        <v>121</v>
      </c>
      <c r="C26" s="646"/>
    </row>
    <row r="27" spans="1:13" ht="26.25" customHeight="1" x14ac:dyDescent="0.3">
      <c r="A27" s="353" t="s">
        <v>50</v>
      </c>
      <c r="B27" s="646" t="s">
        <v>122</v>
      </c>
      <c r="C27" s="646"/>
    </row>
    <row r="28" spans="1:13" ht="27" customHeight="1" thickBot="1" x14ac:dyDescent="0.35">
      <c r="A28" s="353" t="s">
        <v>6</v>
      </c>
      <c r="B28" s="283">
        <v>93.3</v>
      </c>
    </row>
    <row r="29" spans="1:13" s="12" customFormat="1" ht="15.75" customHeight="1" thickBot="1" x14ac:dyDescent="0.35">
      <c r="A29" s="353" t="s">
        <v>51</v>
      </c>
      <c r="B29" s="283">
        <v>0</v>
      </c>
      <c r="C29" s="620" t="s">
        <v>52</v>
      </c>
      <c r="D29" s="621"/>
      <c r="E29" s="621"/>
      <c r="F29" s="621"/>
      <c r="G29" s="621"/>
      <c r="H29" s="622"/>
      <c r="I29" s="417"/>
      <c r="J29" s="417"/>
      <c r="K29" s="417"/>
    </row>
    <row r="30" spans="1:13" s="12" customFormat="1" ht="19.5" customHeight="1" thickBot="1" x14ac:dyDescent="0.35">
      <c r="A30" s="353" t="s">
        <v>53</v>
      </c>
      <c r="B30" s="434">
        <f>B28-B29</f>
        <v>93.3</v>
      </c>
      <c r="C30" s="418"/>
      <c r="D30" s="418"/>
      <c r="E30" s="418"/>
      <c r="F30" s="418"/>
      <c r="G30" s="418"/>
      <c r="H30" s="419"/>
      <c r="I30" s="417"/>
      <c r="J30" s="417"/>
      <c r="K30" s="417"/>
    </row>
    <row r="31" spans="1:13" s="12" customFormat="1" ht="27" customHeight="1" thickBot="1" x14ac:dyDescent="0.35">
      <c r="A31" s="353" t="s">
        <v>54</v>
      </c>
      <c r="B31" s="284">
        <v>405.35</v>
      </c>
      <c r="C31" s="623" t="s">
        <v>55</v>
      </c>
      <c r="D31" s="624"/>
      <c r="E31" s="624"/>
      <c r="F31" s="624"/>
      <c r="G31" s="624"/>
      <c r="H31" s="625"/>
      <c r="I31" s="417"/>
      <c r="J31" s="417"/>
      <c r="K31" s="417"/>
    </row>
    <row r="32" spans="1:13" s="12" customFormat="1" ht="27" customHeight="1" thickBot="1" x14ac:dyDescent="0.35">
      <c r="A32" s="353" t="s">
        <v>56</v>
      </c>
      <c r="B32" s="284">
        <v>432.4</v>
      </c>
      <c r="C32" s="623" t="s">
        <v>57</v>
      </c>
      <c r="D32" s="624"/>
      <c r="E32" s="624"/>
      <c r="F32" s="624"/>
      <c r="G32" s="624"/>
      <c r="H32" s="625"/>
      <c r="I32" s="417"/>
      <c r="J32" s="417"/>
      <c r="K32" s="420"/>
      <c r="L32" s="420"/>
      <c r="M32" s="421"/>
    </row>
    <row r="33" spans="1:13" s="12" customFormat="1" ht="17.25" customHeight="1" x14ac:dyDescent="0.3">
      <c r="A33" s="353"/>
      <c r="B33" s="285"/>
      <c r="C33" s="422"/>
      <c r="D33" s="422"/>
      <c r="E33" s="422"/>
      <c r="F33" s="422"/>
      <c r="G33" s="422"/>
      <c r="H33" s="422"/>
      <c r="I33" s="417"/>
      <c r="J33" s="417"/>
      <c r="K33" s="420"/>
      <c r="L33" s="420"/>
      <c r="M33" s="421"/>
    </row>
    <row r="34" spans="1:13" s="12" customFormat="1" ht="18.75" x14ac:dyDescent="0.3">
      <c r="A34" s="353" t="s">
        <v>58</v>
      </c>
      <c r="B34" s="286">
        <f>B31/B32</f>
        <v>0.9374421831637374</v>
      </c>
      <c r="C34" s="368" t="s">
        <v>59</v>
      </c>
      <c r="D34" s="368"/>
      <c r="E34" s="368"/>
      <c r="F34" s="368"/>
      <c r="G34" s="368"/>
      <c r="H34" s="287"/>
      <c r="I34" s="417"/>
      <c r="J34" s="417"/>
      <c r="K34" s="420"/>
      <c r="L34" s="420"/>
      <c r="M34" s="421"/>
    </row>
    <row r="35" spans="1:13" s="12" customFormat="1" ht="19.5" customHeight="1" thickBot="1" x14ac:dyDescent="0.35">
      <c r="A35" s="353"/>
      <c r="B35" s="434"/>
      <c r="C35" s="287"/>
      <c r="D35" s="287"/>
      <c r="E35" s="287"/>
      <c r="F35" s="287"/>
      <c r="G35" s="368"/>
      <c r="H35" s="287"/>
      <c r="I35" s="417"/>
      <c r="J35" s="417"/>
      <c r="K35" s="420"/>
      <c r="L35" s="420"/>
      <c r="M35" s="421"/>
    </row>
    <row r="36" spans="1:13" s="12" customFormat="1" ht="15.75" customHeight="1" thickBot="1" x14ac:dyDescent="0.35">
      <c r="A36" s="288" t="s">
        <v>60</v>
      </c>
      <c r="B36" s="289">
        <v>100</v>
      </c>
      <c r="C36" s="368"/>
      <c r="D36" s="626" t="s">
        <v>61</v>
      </c>
      <c r="E36" s="627"/>
      <c r="F36" s="626" t="s">
        <v>62</v>
      </c>
      <c r="G36" s="627"/>
      <c r="H36" s="287"/>
      <c r="I36" s="417"/>
      <c r="J36" s="417"/>
      <c r="K36" s="420"/>
      <c r="L36" s="420"/>
      <c r="M36" s="421"/>
    </row>
    <row r="37" spans="1:13" s="12" customFormat="1" ht="15.75" customHeight="1" x14ac:dyDescent="0.3">
      <c r="A37" s="290" t="s">
        <v>63</v>
      </c>
      <c r="B37" s="291">
        <v>1</v>
      </c>
      <c r="C37" s="292" t="s">
        <v>64</v>
      </c>
      <c r="D37" s="293" t="s">
        <v>65</v>
      </c>
      <c r="E37" s="294" t="s">
        <v>66</v>
      </c>
      <c r="F37" s="293" t="s">
        <v>65</v>
      </c>
      <c r="G37" s="295" t="s">
        <v>66</v>
      </c>
      <c r="H37" s="287"/>
      <c r="I37" s="417"/>
      <c r="J37" s="417"/>
      <c r="K37" s="420"/>
      <c r="L37" s="420"/>
      <c r="M37" s="421"/>
    </row>
    <row r="38" spans="1:13" s="12" customFormat="1" ht="26.25" customHeight="1" x14ac:dyDescent="0.3">
      <c r="A38" s="290" t="s">
        <v>67</v>
      </c>
      <c r="B38" s="291">
        <v>1</v>
      </c>
      <c r="C38" s="296">
        <v>1</v>
      </c>
      <c r="D38" s="297">
        <v>122858369</v>
      </c>
      <c r="E38" s="298">
        <f>IF(ISBLANK(D38),"-",$D$48/$D$45*D38)</f>
        <v>145186968.0904085</v>
      </c>
      <c r="F38" s="297">
        <v>145554034</v>
      </c>
      <c r="G38" s="299">
        <f>IF(ISBLANK(F38),"-",$D$48/$F$45*F38)</f>
        <v>145215673.32033828</v>
      </c>
      <c r="H38" s="287"/>
      <c r="I38" s="417"/>
      <c r="J38" s="417"/>
      <c r="K38" s="420"/>
      <c r="L38" s="420"/>
      <c r="M38" s="421"/>
    </row>
    <row r="39" spans="1:13" s="12" customFormat="1" ht="26.25" customHeight="1" x14ac:dyDescent="0.3">
      <c r="A39" s="290" t="s">
        <v>68</v>
      </c>
      <c r="B39" s="291">
        <v>1</v>
      </c>
      <c r="C39" s="300">
        <v>2</v>
      </c>
      <c r="D39" s="301">
        <v>122937788</v>
      </c>
      <c r="E39" s="302">
        <f>IF(ISBLANK(D39),"-",$D$48/$D$45*D39)</f>
        <v>145280820.90574881</v>
      </c>
      <c r="F39" s="301">
        <v>145647869</v>
      </c>
      <c r="G39" s="303">
        <f>IF(ISBLANK(F39),"-",$D$48/$F$45*F39)</f>
        <v>145309290.18777606</v>
      </c>
      <c r="H39" s="287"/>
      <c r="I39" s="417"/>
      <c r="J39" s="417"/>
      <c r="K39" s="420"/>
      <c r="L39" s="420"/>
      <c r="M39" s="421"/>
    </row>
    <row r="40" spans="1:13" ht="26.25" customHeight="1" x14ac:dyDescent="0.3">
      <c r="A40" s="290" t="s">
        <v>69</v>
      </c>
      <c r="B40" s="291">
        <v>1</v>
      </c>
      <c r="C40" s="300">
        <v>3</v>
      </c>
      <c r="D40" s="301">
        <v>122904455</v>
      </c>
      <c r="E40" s="302">
        <f>IF(ISBLANK(D40),"-",$D$48/$D$45*D40)</f>
        <v>145241429.87975079</v>
      </c>
      <c r="F40" s="301">
        <v>145719929</v>
      </c>
      <c r="G40" s="303">
        <f>IF(ISBLANK(F40),"-",$D$48/$F$45*F40)</f>
        <v>145381182.67424238</v>
      </c>
      <c r="K40" s="420"/>
      <c r="L40" s="420"/>
      <c r="M40" s="429"/>
    </row>
    <row r="41" spans="1:13" ht="26.25" customHeight="1" x14ac:dyDescent="0.3">
      <c r="A41" s="290" t="s">
        <v>70</v>
      </c>
      <c r="B41" s="291">
        <v>1</v>
      </c>
      <c r="C41" s="304">
        <v>4</v>
      </c>
      <c r="D41" s="305"/>
      <c r="E41" s="306" t="str">
        <f>IF(ISBLANK(D41),"-",$D$48/$D$45*D41)</f>
        <v>-</v>
      </c>
      <c r="F41" s="305"/>
      <c r="G41" s="307" t="str">
        <f>IF(ISBLANK(F41),"-",$D$48/$F$45*F41)</f>
        <v>-</v>
      </c>
      <c r="K41" s="420"/>
      <c r="L41" s="420"/>
      <c r="M41" s="429"/>
    </row>
    <row r="42" spans="1:13" ht="27" customHeight="1" thickBot="1" x14ac:dyDescent="0.3">
      <c r="A42" s="290" t="s">
        <v>71</v>
      </c>
      <c r="B42" s="291">
        <v>1</v>
      </c>
      <c r="C42" s="308" t="s">
        <v>72</v>
      </c>
      <c r="D42" s="309">
        <f>AVERAGE(D38:D41)</f>
        <v>122900204</v>
      </c>
      <c r="E42" s="310">
        <f>AVERAGE(E38:E41)</f>
        <v>145236406.29196936</v>
      </c>
      <c r="F42" s="311">
        <f>AVERAGE(F38:F41)</f>
        <v>145640610.66666666</v>
      </c>
      <c r="G42" s="312">
        <f>AVERAGE(G38:G41)</f>
        <v>145302048.72745225</v>
      </c>
      <c r="H42" s="370"/>
    </row>
    <row r="43" spans="1:13" ht="26.25" customHeight="1" x14ac:dyDescent="0.3">
      <c r="A43" s="290" t="s">
        <v>73</v>
      </c>
      <c r="B43" s="283">
        <v>1</v>
      </c>
      <c r="C43" s="313" t="s">
        <v>74</v>
      </c>
      <c r="D43" s="314">
        <v>19.350000000000001</v>
      </c>
      <c r="E43" s="368"/>
      <c r="F43" s="315">
        <v>22.92</v>
      </c>
      <c r="H43" s="370"/>
    </row>
    <row r="44" spans="1:13" ht="26.25" customHeight="1" x14ac:dyDescent="0.3">
      <c r="A44" s="290" t="s">
        <v>75</v>
      </c>
      <c r="B44" s="283">
        <v>1</v>
      </c>
      <c r="C44" s="316" t="s">
        <v>76</v>
      </c>
      <c r="D44" s="317">
        <f>D43*$B$34</f>
        <v>18.139506244218321</v>
      </c>
      <c r="E44" s="352"/>
      <c r="F44" s="318">
        <f>F43*$B$34</f>
        <v>21.486174838112863</v>
      </c>
      <c r="H44" s="370"/>
    </row>
    <row r="45" spans="1:13" ht="19.5" customHeight="1" thickBot="1" x14ac:dyDescent="0.35">
      <c r="A45" s="290" t="s">
        <v>77</v>
      </c>
      <c r="B45" s="434">
        <f>(B44/B43)*(B42/B41)*(B40/B39)*(B38/B37)*B36</f>
        <v>100</v>
      </c>
      <c r="C45" s="316" t="s">
        <v>78</v>
      </c>
      <c r="D45" s="319">
        <f>D44*$B$30/100</f>
        <v>16.924159325855694</v>
      </c>
      <c r="E45" s="350"/>
      <c r="F45" s="320">
        <f>F44*$B$30/100</f>
        <v>20.046601123959302</v>
      </c>
      <c r="H45" s="370"/>
    </row>
    <row r="46" spans="1:13" ht="19.5" customHeight="1" thickBot="1" x14ac:dyDescent="0.35">
      <c r="A46" s="614" t="s">
        <v>79</v>
      </c>
      <c r="B46" s="615"/>
      <c r="C46" s="316" t="s">
        <v>80</v>
      </c>
      <c r="D46" s="317">
        <f>D45/$B$45</f>
        <v>0.16924159325855695</v>
      </c>
      <c r="E46" s="350"/>
      <c r="F46" s="321">
        <f>F45/$B$45</f>
        <v>0.20046601123959301</v>
      </c>
      <c r="H46" s="370"/>
    </row>
    <row r="47" spans="1:13" ht="27" customHeight="1" thickBot="1" x14ac:dyDescent="0.35">
      <c r="A47" s="616"/>
      <c r="B47" s="617"/>
      <c r="C47" s="316" t="s">
        <v>81</v>
      </c>
      <c r="D47" s="322">
        <v>0.2</v>
      </c>
      <c r="F47" s="323"/>
      <c r="H47" s="370"/>
    </row>
    <row r="48" spans="1:13" ht="18.75" x14ac:dyDescent="0.3">
      <c r="C48" s="316" t="s">
        <v>82</v>
      </c>
      <c r="D48" s="317">
        <f>D47*$B$45</f>
        <v>20</v>
      </c>
      <c r="F48" s="323"/>
      <c r="H48" s="370"/>
    </row>
    <row r="49" spans="1:11" ht="19.5" customHeight="1" thickBot="1" x14ac:dyDescent="0.35">
      <c r="C49" s="324" t="s">
        <v>83</v>
      </c>
      <c r="D49" s="364">
        <f>D48/B34</f>
        <v>21.334649068706053</v>
      </c>
      <c r="F49" s="325"/>
      <c r="H49" s="370"/>
    </row>
    <row r="50" spans="1:11" ht="18.75" x14ac:dyDescent="0.3">
      <c r="C50" s="326" t="s">
        <v>84</v>
      </c>
      <c r="D50" s="327">
        <f>AVERAGE(E38:E41,G38:G41)</f>
        <v>145269227.50971082</v>
      </c>
      <c r="F50" s="325"/>
      <c r="H50" s="370"/>
    </row>
    <row r="51" spans="1:11" ht="18.75" x14ac:dyDescent="0.3">
      <c r="C51" s="328" t="s">
        <v>85</v>
      </c>
      <c r="D51" s="329">
        <f>STDEV(E38:E41,G38:G41)/D50</f>
        <v>4.8363819804339857E-4</v>
      </c>
      <c r="F51" s="325"/>
    </row>
    <row r="52" spans="1:11" ht="19.5" customHeight="1" thickBot="1" x14ac:dyDescent="0.35">
      <c r="C52" s="330" t="s">
        <v>19</v>
      </c>
      <c r="D52" s="331">
        <f>COUNT(E38:E41,G38:G41)</f>
        <v>6</v>
      </c>
      <c r="F52" s="325"/>
    </row>
    <row r="54" spans="1:11" ht="18.75" x14ac:dyDescent="0.3">
      <c r="A54" s="332" t="s">
        <v>1</v>
      </c>
      <c r="B54" s="333" t="s">
        <v>86</v>
      </c>
    </row>
    <row r="55" spans="1:11" ht="18.75" x14ac:dyDescent="0.3">
      <c r="A55" s="368" t="s">
        <v>87</v>
      </c>
      <c r="B55" s="334" t="str">
        <f>B21</f>
        <v>Each tablet contains Pantoprazole sodium 40mg</v>
      </c>
    </row>
    <row r="56" spans="1:11" ht="26.25" customHeight="1" x14ac:dyDescent="0.3">
      <c r="A56" s="334" t="s">
        <v>88</v>
      </c>
      <c r="B56" s="283">
        <v>40</v>
      </c>
      <c r="C56" s="368" t="str">
        <f>B20</f>
        <v xml:space="preserve">Pantoprazole </v>
      </c>
      <c r="H56" s="352"/>
    </row>
    <row r="57" spans="1:11" ht="18.75" x14ac:dyDescent="0.3">
      <c r="A57" s="334" t="s">
        <v>89</v>
      </c>
      <c r="B57" s="414">
        <f>Uniformity!C46</f>
        <v>224.93250000000003</v>
      </c>
      <c r="H57" s="352"/>
    </row>
    <row r="58" spans="1:11" ht="19.5" customHeight="1" thickBot="1" x14ac:dyDescent="0.35">
      <c r="H58" s="352"/>
    </row>
    <row r="59" spans="1:11" s="12" customFormat="1" ht="27" customHeight="1" thickBot="1" x14ac:dyDescent="0.35">
      <c r="A59" s="288" t="s">
        <v>90</v>
      </c>
      <c r="B59" s="289">
        <v>100</v>
      </c>
      <c r="C59" s="368"/>
      <c r="D59" s="335" t="s">
        <v>91</v>
      </c>
      <c r="E59" s="412" t="s">
        <v>64</v>
      </c>
      <c r="F59" s="412" t="s">
        <v>65</v>
      </c>
      <c r="G59" s="412" t="s">
        <v>92</v>
      </c>
      <c r="H59" s="292" t="s">
        <v>93</v>
      </c>
      <c r="K59" s="417"/>
    </row>
    <row r="60" spans="1:11" s="12" customFormat="1" ht="26.25" customHeight="1" x14ac:dyDescent="0.3">
      <c r="A60" s="290" t="s">
        <v>94</v>
      </c>
      <c r="B60" s="291">
        <v>1</v>
      </c>
      <c r="C60" s="630" t="s">
        <v>95</v>
      </c>
      <c r="D60" s="633">
        <v>107.83</v>
      </c>
      <c r="E60" s="336">
        <v>1</v>
      </c>
      <c r="F60" s="337">
        <v>128015925</v>
      </c>
      <c r="G60" s="338">
        <f>IF(ISBLANK(F60),"-",(F60/$D$50*$D$47*$B$68)*($B$57/$D$60))</f>
        <v>36.764864712305744</v>
      </c>
      <c r="H60" s="423">
        <f t="shared" ref="H60:H71" si="0">IF(ISBLANK(F60),"-",G60/$B$56)</f>
        <v>0.91912161780764357</v>
      </c>
      <c r="K60" s="417"/>
    </row>
    <row r="61" spans="1:11" s="12" customFormat="1" ht="26.25" customHeight="1" x14ac:dyDescent="0.3">
      <c r="A61" s="290" t="s">
        <v>96</v>
      </c>
      <c r="B61" s="291">
        <v>1</v>
      </c>
      <c r="C61" s="631"/>
      <c r="D61" s="634"/>
      <c r="E61" s="339">
        <v>2</v>
      </c>
      <c r="F61" s="301">
        <v>127993306</v>
      </c>
      <c r="G61" s="340">
        <f>IF(ISBLANK(F61),"-",(F61/$D$50*$D$47*$B$68)*($B$57/$D$60))</f>
        <v>36.75836876678234</v>
      </c>
      <c r="H61" s="424">
        <f t="shared" si="0"/>
        <v>0.91895921916955847</v>
      </c>
      <c r="K61" s="417"/>
    </row>
    <row r="62" spans="1:11" s="12" customFormat="1" ht="26.25" customHeight="1" x14ac:dyDescent="0.3">
      <c r="A62" s="290" t="s">
        <v>97</v>
      </c>
      <c r="B62" s="291">
        <v>1</v>
      </c>
      <c r="C62" s="631"/>
      <c r="D62" s="634"/>
      <c r="E62" s="339">
        <v>3</v>
      </c>
      <c r="F62" s="301">
        <v>128095764</v>
      </c>
      <c r="G62" s="340">
        <f>IF(ISBLANK(F62),"-",(F62/$D$50*$D$47*$B$68)*($B$57/$D$60))</f>
        <v>36.787793656761409</v>
      </c>
      <c r="H62" s="424">
        <f t="shared" si="0"/>
        <v>0.91969484141903524</v>
      </c>
      <c r="K62" s="417"/>
    </row>
    <row r="63" spans="1:11" ht="27" customHeight="1" thickBot="1" x14ac:dyDescent="0.3">
      <c r="A63" s="290" t="s">
        <v>98</v>
      </c>
      <c r="B63" s="291">
        <v>1</v>
      </c>
      <c r="C63" s="632"/>
      <c r="D63" s="635"/>
      <c r="E63" s="341">
        <v>4</v>
      </c>
      <c r="F63" s="342"/>
      <c r="G63" s="340" t="str">
        <f>IF(ISBLANK(F63),"-",(F63/$D$50*$D$47*$B$68)*($B$57/$D$60))</f>
        <v>-</v>
      </c>
      <c r="H63" s="424" t="str">
        <f t="shared" si="0"/>
        <v>-</v>
      </c>
    </row>
    <row r="64" spans="1:11" ht="26.25" customHeight="1" x14ac:dyDescent="0.25">
      <c r="A64" s="290" t="s">
        <v>99</v>
      </c>
      <c r="B64" s="291">
        <v>1</v>
      </c>
      <c r="C64" s="630" t="s">
        <v>100</v>
      </c>
      <c r="D64" s="633">
        <v>114.27</v>
      </c>
      <c r="E64" s="336">
        <v>1</v>
      </c>
      <c r="F64" s="337">
        <v>139773409</v>
      </c>
      <c r="G64" s="343">
        <f>IF(ISBLANK(F64),"-",(F64/$D$50*$D$47*$B$68)*($B$57/$D$64))</f>
        <v>37.879209652973707</v>
      </c>
      <c r="H64" s="425">
        <f t="shared" si="0"/>
        <v>0.94698024132434266</v>
      </c>
    </row>
    <row r="65" spans="1:8" ht="26.25" customHeight="1" x14ac:dyDescent="0.25">
      <c r="A65" s="290" t="s">
        <v>101</v>
      </c>
      <c r="B65" s="291">
        <v>1</v>
      </c>
      <c r="C65" s="631"/>
      <c r="D65" s="634"/>
      <c r="E65" s="339">
        <v>2</v>
      </c>
      <c r="F65" s="301">
        <v>139785912</v>
      </c>
      <c r="G65" s="344">
        <f>IF(ISBLANK(F65),"-",(F65/$D$50*$D$47*$B$68)*($B$57/$D$64))</f>
        <v>37.882598021059451</v>
      </c>
      <c r="H65" s="426">
        <f t="shared" si="0"/>
        <v>0.94706495052648632</v>
      </c>
    </row>
    <row r="66" spans="1:8" ht="26.25" customHeight="1" x14ac:dyDescent="0.25">
      <c r="A66" s="290" t="s">
        <v>102</v>
      </c>
      <c r="B66" s="291">
        <v>1</v>
      </c>
      <c r="C66" s="631"/>
      <c r="D66" s="634"/>
      <c r="E66" s="339">
        <v>3</v>
      </c>
      <c r="F66" s="301">
        <v>139881282</v>
      </c>
      <c r="G66" s="344">
        <f>IF(ISBLANK(F66),"-",(F66/$D$50*$D$47*$B$68)*($B$57/$D$64))</f>
        <v>37.908443711240793</v>
      </c>
      <c r="H66" s="426">
        <f t="shared" si="0"/>
        <v>0.94771109278101984</v>
      </c>
    </row>
    <row r="67" spans="1:8" ht="27" customHeight="1" thickBot="1" x14ac:dyDescent="0.3">
      <c r="A67" s="290" t="s">
        <v>103</v>
      </c>
      <c r="B67" s="291">
        <v>1</v>
      </c>
      <c r="C67" s="632"/>
      <c r="D67" s="635"/>
      <c r="E67" s="341">
        <v>4</v>
      </c>
      <c r="F67" s="342"/>
      <c r="G67" s="345" t="str">
        <f>IF(ISBLANK(F67),"-",(F67/$D$50*$D$47*$B$68)*($B$57/$D$64))</f>
        <v>-</v>
      </c>
      <c r="H67" s="427" t="str">
        <f t="shared" si="0"/>
        <v>-</v>
      </c>
    </row>
    <row r="68" spans="1:8" ht="26.25" customHeight="1" x14ac:dyDescent="0.25">
      <c r="A68" s="290" t="s">
        <v>104</v>
      </c>
      <c r="B68" s="388">
        <f>(B67/B66)*(B65/B64)*(B63/B62)*(B61/B60)*B59</f>
        <v>100</v>
      </c>
      <c r="C68" s="630" t="s">
        <v>105</v>
      </c>
      <c r="D68" s="633">
        <v>110.88</v>
      </c>
      <c r="E68" s="336">
        <v>1</v>
      </c>
      <c r="F68" s="337">
        <v>133908609</v>
      </c>
      <c r="G68" s="343">
        <f>IF(ISBLANK(F68),"-",(F68/$D$50*$D$47*$B$68)*($B$57/$D$68))</f>
        <v>37.399333295363192</v>
      </c>
      <c r="H68" s="424">
        <f t="shared" si="0"/>
        <v>0.93498333238407982</v>
      </c>
    </row>
    <row r="69" spans="1:8" ht="27" customHeight="1" thickBot="1" x14ac:dyDescent="0.3">
      <c r="A69" s="346" t="s">
        <v>106</v>
      </c>
      <c r="B69" s="416">
        <f>(D47*B68)/B56*B57</f>
        <v>112.46625000000002</v>
      </c>
      <c r="C69" s="631"/>
      <c r="D69" s="634"/>
      <c r="E69" s="339">
        <v>2</v>
      </c>
      <c r="F69" s="301">
        <v>133791707</v>
      </c>
      <c r="G69" s="344">
        <f>IF(ISBLANK(F69),"-",(F69/$D$50*$D$47*$B$68)*($B$57/$D$68))</f>
        <v>37.366683737627184</v>
      </c>
      <c r="H69" s="424">
        <f t="shared" si="0"/>
        <v>0.93416709344067961</v>
      </c>
    </row>
    <row r="70" spans="1:8" ht="26.25" customHeight="1" x14ac:dyDescent="0.25">
      <c r="A70" s="636" t="s">
        <v>79</v>
      </c>
      <c r="B70" s="637"/>
      <c r="C70" s="631"/>
      <c r="D70" s="634"/>
      <c r="E70" s="339">
        <v>3</v>
      </c>
      <c r="F70" s="301">
        <v>133822653</v>
      </c>
      <c r="G70" s="344">
        <f>IF(ISBLANK(F70),"-",(F70/$D$50*$D$47*$B$68)*($B$57/$D$68))</f>
        <v>37.375326645479049</v>
      </c>
      <c r="H70" s="424">
        <f t="shared" si="0"/>
        <v>0.93438316613697625</v>
      </c>
    </row>
    <row r="71" spans="1:8" ht="27" customHeight="1" thickBot="1" x14ac:dyDescent="0.3">
      <c r="A71" s="638"/>
      <c r="B71" s="639"/>
      <c r="C71" s="632"/>
      <c r="D71" s="635"/>
      <c r="E71" s="341">
        <v>4</v>
      </c>
      <c r="F71" s="342"/>
      <c r="G71" s="345" t="str">
        <f>IF(ISBLANK(F71),"-",(F71/$D$50*$D$47*$B$68)*($B$57/$D$68))</f>
        <v>-</v>
      </c>
      <c r="H71" s="428" t="str">
        <f t="shared" si="0"/>
        <v>-</v>
      </c>
    </row>
    <row r="72" spans="1:8" ht="26.25" customHeight="1" x14ac:dyDescent="0.25">
      <c r="A72" s="352"/>
      <c r="B72" s="352"/>
      <c r="C72" s="352"/>
      <c r="D72" s="352"/>
      <c r="E72" s="352"/>
      <c r="F72" s="352"/>
      <c r="G72" s="347" t="s">
        <v>72</v>
      </c>
      <c r="H72" s="348">
        <f>AVERAGE(H60:H71)</f>
        <v>0.9336739505544247</v>
      </c>
    </row>
    <row r="73" spans="1:8" ht="26.25" customHeight="1" x14ac:dyDescent="0.3">
      <c r="C73" s="352"/>
      <c r="D73" s="352"/>
      <c r="E73" s="352"/>
      <c r="F73" s="352"/>
      <c r="G73" s="328" t="s">
        <v>85</v>
      </c>
      <c r="H73" s="349">
        <f>STDEV(H60:H71)/H72</f>
        <v>1.3005433727767511E-2</v>
      </c>
    </row>
    <row r="74" spans="1:8" ht="27" customHeight="1" thickBot="1" x14ac:dyDescent="0.3">
      <c r="A74" s="352"/>
      <c r="B74" s="352"/>
      <c r="C74" s="352"/>
      <c r="D74" s="352"/>
      <c r="E74" s="350"/>
      <c r="F74" s="352"/>
      <c r="G74" s="330" t="s">
        <v>19</v>
      </c>
      <c r="H74" s="351">
        <f>COUNT(H60:H71)</f>
        <v>9</v>
      </c>
    </row>
    <row r="75" spans="1:8" s="429" customFormat="1" ht="18.75" x14ac:dyDescent="0.3">
      <c r="A75" s="352"/>
      <c r="B75" s="352"/>
      <c r="C75" s="352"/>
      <c r="D75" s="352"/>
      <c r="E75" s="350"/>
      <c r="F75" s="352"/>
      <c r="G75" s="353"/>
      <c r="H75" s="434"/>
    </row>
    <row r="76" spans="1:8" s="429" customFormat="1" ht="26.25" customHeight="1" x14ac:dyDescent="0.3">
      <c r="A76" s="406" t="s">
        <v>107</v>
      </c>
      <c r="B76" s="353" t="s">
        <v>108</v>
      </c>
      <c r="C76" s="618" t="str">
        <f>B20</f>
        <v xml:space="preserve">Pantoprazole </v>
      </c>
      <c r="D76" s="618"/>
      <c r="E76" s="368" t="s">
        <v>109</v>
      </c>
      <c r="F76" s="368"/>
      <c r="G76" s="415">
        <f>H72</f>
        <v>0.9336739505544247</v>
      </c>
      <c r="H76" s="434"/>
    </row>
    <row r="77" spans="1:8" ht="18.75" x14ac:dyDescent="0.25">
      <c r="A77" s="352"/>
      <c r="B77" s="352"/>
      <c r="C77" s="352"/>
      <c r="D77" s="352"/>
      <c r="E77" s="350"/>
      <c r="F77" s="352"/>
      <c r="G77" s="353"/>
      <c r="H77" s="434"/>
    </row>
    <row r="78" spans="1:8" ht="18.75" x14ac:dyDescent="0.3">
      <c r="A78" s="282"/>
      <c r="B78" s="282" t="s">
        <v>110</v>
      </c>
    </row>
    <row r="79" spans="1:8" ht="18.75" x14ac:dyDescent="0.3">
      <c r="A79" s="282"/>
      <c r="B79" s="282"/>
    </row>
    <row r="80" spans="1:8" ht="26.25" customHeight="1" x14ac:dyDescent="0.3">
      <c r="A80" s="406" t="s">
        <v>4</v>
      </c>
      <c r="B80" s="283" t="s">
        <v>121</v>
      </c>
    </row>
    <row r="81" spans="1:11" ht="26.25" customHeight="1" x14ac:dyDescent="0.3">
      <c r="A81" s="353" t="s">
        <v>50</v>
      </c>
      <c r="B81" s="283" t="str">
        <f>B27</f>
        <v>P11-2</v>
      </c>
    </row>
    <row r="82" spans="1:11" ht="27" customHeight="1" thickBot="1" x14ac:dyDescent="0.35">
      <c r="A82" s="353" t="s">
        <v>6</v>
      </c>
      <c r="B82" s="283">
        <f>B28</f>
        <v>93.3</v>
      </c>
    </row>
    <row r="83" spans="1:11" s="12" customFormat="1" ht="27" customHeight="1" thickBot="1" x14ac:dyDescent="0.35">
      <c r="A83" s="353" t="s">
        <v>51</v>
      </c>
      <c r="B83" s="283">
        <f>B29</f>
        <v>0</v>
      </c>
      <c r="C83" s="620" t="s">
        <v>52</v>
      </c>
      <c r="D83" s="621"/>
      <c r="E83" s="621"/>
      <c r="F83" s="621"/>
      <c r="G83" s="621"/>
      <c r="H83" s="622"/>
      <c r="I83" s="417"/>
      <c r="J83" s="417"/>
      <c r="K83" s="417"/>
    </row>
    <row r="84" spans="1:11" s="12" customFormat="1" ht="19.5" customHeight="1" thickBot="1" x14ac:dyDescent="0.35">
      <c r="A84" s="353" t="s">
        <v>53</v>
      </c>
      <c r="B84" s="434">
        <f>B82-B83</f>
        <v>93.3</v>
      </c>
      <c r="C84" s="418"/>
      <c r="D84" s="418"/>
      <c r="E84" s="418"/>
      <c r="F84" s="418"/>
      <c r="G84" s="418"/>
      <c r="H84" s="419"/>
      <c r="I84" s="417"/>
      <c r="J84" s="417"/>
      <c r="K84" s="417"/>
    </row>
    <row r="85" spans="1:11" s="12" customFormat="1" ht="27" customHeight="1" thickBot="1" x14ac:dyDescent="0.35">
      <c r="A85" s="353" t="s">
        <v>54</v>
      </c>
      <c r="B85" s="284">
        <v>405.35</v>
      </c>
      <c r="C85" s="623" t="s">
        <v>55</v>
      </c>
      <c r="D85" s="624"/>
      <c r="E85" s="624"/>
      <c r="F85" s="624"/>
      <c r="G85" s="624"/>
      <c r="H85" s="625"/>
      <c r="I85" s="417"/>
      <c r="J85" s="417"/>
      <c r="K85" s="417"/>
    </row>
    <row r="86" spans="1:11" s="12" customFormat="1" ht="27" customHeight="1" thickBot="1" x14ac:dyDescent="0.35">
      <c r="A86" s="353" t="s">
        <v>56</v>
      </c>
      <c r="B86" s="284">
        <v>432.4</v>
      </c>
      <c r="C86" s="623" t="s">
        <v>57</v>
      </c>
      <c r="D86" s="624"/>
      <c r="E86" s="624"/>
      <c r="F86" s="624"/>
      <c r="G86" s="624"/>
      <c r="H86" s="625"/>
      <c r="I86" s="417"/>
      <c r="J86" s="417"/>
      <c r="K86" s="417"/>
    </row>
    <row r="87" spans="1:11" s="12" customFormat="1" ht="18.75" x14ac:dyDescent="0.3">
      <c r="A87" s="353"/>
      <c r="B87" s="285"/>
      <c r="C87" s="422"/>
      <c r="D87" s="422"/>
      <c r="E87" s="422"/>
      <c r="F87" s="422"/>
      <c r="G87" s="422"/>
      <c r="H87" s="422"/>
      <c r="I87" s="417"/>
      <c r="J87" s="417"/>
      <c r="K87" s="417"/>
    </row>
    <row r="88" spans="1:11" s="12" customFormat="1" ht="18.75" x14ac:dyDescent="0.3">
      <c r="A88" s="353" t="s">
        <v>58</v>
      </c>
      <c r="B88" s="286">
        <f>B85/B86</f>
        <v>0.9374421831637374</v>
      </c>
      <c r="C88" s="368" t="s">
        <v>59</v>
      </c>
      <c r="D88" s="368"/>
      <c r="E88" s="368"/>
      <c r="F88" s="368"/>
      <c r="G88" s="368"/>
      <c r="H88" s="287"/>
      <c r="I88" s="417"/>
      <c r="J88" s="417"/>
      <c r="K88" s="417"/>
    </row>
    <row r="89" spans="1:11" ht="19.5" customHeight="1" thickBot="1" x14ac:dyDescent="0.35">
      <c r="A89" s="282"/>
      <c r="B89" s="282"/>
    </row>
    <row r="90" spans="1:11" ht="27" customHeight="1" thickBot="1" x14ac:dyDescent="0.35">
      <c r="A90" s="288" t="s">
        <v>60</v>
      </c>
      <c r="B90" s="289">
        <v>50</v>
      </c>
      <c r="D90" s="411" t="s">
        <v>61</v>
      </c>
      <c r="E90" s="354"/>
      <c r="F90" s="626" t="s">
        <v>62</v>
      </c>
      <c r="G90" s="627"/>
    </row>
    <row r="91" spans="1:11" ht="26.25" customHeight="1" x14ac:dyDescent="0.3">
      <c r="A91" s="290" t="s">
        <v>63</v>
      </c>
      <c r="B91" s="291">
        <v>3</v>
      </c>
      <c r="C91" s="433" t="s">
        <v>64</v>
      </c>
      <c r="D91" s="293" t="s">
        <v>65</v>
      </c>
      <c r="E91" s="294" t="s">
        <v>66</v>
      </c>
      <c r="F91" s="293" t="s">
        <v>65</v>
      </c>
      <c r="G91" s="295" t="s">
        <v>66</v>
      </c>
    </row>
    <row r="92" spans="1:11" ht="26.25" customHeight="1" x14ac:dyDescent="0.3">
      <c r="A92" s="290" t="s">
        <v>67</v>
      </c>
      <c r="B92" s="291">
        <v>100</v>
      </c>
      <c r="C92" s="355">
        <v>1</v>
      </c>
      <c r="D92" s="297">
        <v>0.3649</v>
      </c>
      <c r="E92" s="298">
        <f>IF(ISBLANK(D92),"-",$D$102/$D$99*D92)</f>
        <v>0.3243184801629429</v>
      </c>
      <c r="F92" s="297">
        <v>0.3483</v>
      </c>
      <c r="G92" s="299">
        <f>IF(ISBLANK(F92),"-",$D$102/$F$99*F92)</f>
        <v>0.33318600727626113</v>
      </c>
    </row>
    <row r="93" spans="1:11" ht="26.25" customHeight="1" x14ac:dyDescent="0.3">
      <c r="A93" s="290" t="s">
        <v>68</v>
      </c>
      <c r="B93" s="291">
        <v>1</v>
      </c>
      <c r="C93" s="352">
        <v>2</v>
      </c>
      <c r="D93" s="301">
        <v>0.37069999999999997</v>
      </c>
      <c r="E93" s="302">
        <f>IF(ISBLANK(D93),"-",$D$102/$D$99*D93)</f>
        <v>0.32947344641382004</v>
      </c>
      <c r="F93" s="301">
        <v>0.34910000000000002</v>
      </c>
      <c r="G93" s="303">
        <f>IF(ISBLANK(F93),"-",$D$102/$F$99*F93)</f>
        <v>0.33395129239202637</v>
      </c>
    </row>
    <row r="94" spans="1:11" ht="26.25" customHeight="1" x14ac:dyDescent="0.3">
      <c r="A94" s="290" t="s">
        <v>69</v>
      </c>
      <c r="B94" s="291">
        <v>1</v>
      </c>
      <c r="C94" s="352">
        <v>3</v>
      </c>
      <c r="D94" s="301">
        <v>0.3634</v>
      </c>
      <c r="E94" s="302">
        <f>IF(ISBLANK(D94),"-",$D$102/$D$99*D94)</f>
        <v>0.32298529923599195</v>
      </c>
      <c r="F94" s="301">
        <v>0.34699999999999998</v>
      </c>
      <c r="G94" s="303">
        <f>IF(ISBLANK(F94),"-",$D$102/$F$99*F94)</f>
        <v>0.33194241896314275</v>
      </c>
    </row>
    <row r="95" spans="1:11" ht="26.25" customHeight="1" x14ac:dyDescent="0.3">
      <c r="A95" s="290" t="s">
        <v>70</v>
      </c>
      <c r="B95" s="291">
        <v>1</v>
      </c>
      <c r="C95" s="410">
        <v>4</v>
      </c>
      <c r="D95" s="305"/>
      <c r="E95" s="306" t="str">
        <f>IF(ISBLANK(D95),"-",$D$102/$D$99*D95)</f>
        <v>-</v>
      </c>
      <c r="F95" s="356"/>
      <c r="G95" s="307" t="str">
        <f>IF(ISBLANK(F95),"-",$D$102/$F$99*F95)</f>
        <v>-</v>
      </c>
    </row>
    <row r="96" spans="1:11" ht="27" customHeight="1" thickBot="1" x14ac:dyDescent="0.35">
      <c r="A96" s="290" t="s">
        <v>71</v>
      </c>
      <c r="B96" s="291">
        <v>1</v>
      </c>
      <c r="C96" s="353" t="s">
        <v>72</v>
      </c>
      <c r="D96" s="357">
        <f>AVERAGE(D92:D95)</f>
        <v>0.36633333333333334</v>
      </c>
      <c r="E96" s="310">
        <f>AVERAGE(E92:E95)</f>
        <v>0.32559240860425159</v>
      </c>
      <c r="F96" s="358">
        <f>AVERAGE(F92:F95)</f>
        <v>0.34813333333333335</v>
      </c>
      <c r="G96" s="359">
        <f>AVERAGE(G92:G95)</f>
        <v>0.33302657287714338</v>
      </c>
    </row>
    <row r="97" spans="1:9" ht="26.25" customHeight="1" x14ac:dyDescent="0.3">
      <c r="A97" s="290" t="s">
        <v>73</v>
      </c>
      <c r="B97" s="283">
        <v>1</v>
      </c>
      <c r="C97" s="313" t="s">
        <v>74</v>
      </c>
      <c r="D97" s="360">
        <v>21.44</v>
      </c>
      <c r="E97" s="368"/>
      <c r="F97" s="315">
        <v>19.920000000000002</v>
      </c>
    </row>
    <row r="98" spans="1:9" ht="26.25" customHeight="1" x14ac:dyDescent="0.3">
      <c r="A98" s="290" t="s">
        <v>75</v>
      </c>
      <c r="B98" s="283">
        <v>1</v>
      </c>
      <c r="C98" s="316" t="s">
        <v>76</v>
      </c>
      <c r="D98" s="317">
        <f>D97*$B$88</f>
        <v>20.098760407030532</v>
      </c>
      <c r="E98" s="352"/>
      <c r="F98" s="318">
        <f>F97*$B$88</f>
        <v>18.673848288621649</v>
      </c>
    </row>
    <row r="99" spans="1:9" ht="19.5" customHeight="1" thickBot="1" x14ac:dyDescent="0.35">
      <c r="A99" s="290" t="s">
        <v>77</v>
      </c>
      <c r="B99" s="434">
        <f>(B98/B97)*(B96/B95)*(B94/B93)*(B92/B91)*B90</f>
        <v>1666.6666666666667</v>
      </c>
      <c r="C99" s="316" t="s">
        <v>78</v>
      </c>
      <c r="D99" s="319">
        <f>D98*$B$84/100</f>
        <v>18.752143459759488</v>
      </c>
      <c r="E99" s="350"/>
      <c r="F99" s="320">
        <f>F98*$B$84/100</f>
        <v>17.422700453283998</v>
      </c>
    </row>
    <row r="100" spans="1:9" ht="19.5" customHeight="1" thickBot="1" x14ac:dyDescent="0.3">
      <c r="A100" s="614" t="s">
        <v>79</v>
      </c>
      <c r="B100" s="628"/>
      <c r="C100" s="316" t="s">
        <v>80</v>
      </c>
      <c r="D100" s="361">
        <f>D99/$B$99</f>
        <v>1.1251286075855692E-2</v>
      </c>
      <c r="E100" s="350"/>
      <c r="F100" s="362">
        <f>F99/$B$99</f>
        <v>1.0453620271970398E-2</v>
      </c>
      <c r="G100" s="369"/>
      <c r="H100" s="370"/>
    </row>
    <row r="101" spans="1:9" ht="19.5" customHeight="1" thickBot="1" x14ac:dyDescent="0.35">
      <c r="A101" s="616"/>
      <c r="B101" s="629"/>
      <c r="C101" s="316" t="s">
        <v>81</v>
      </c>
      <c r="D101" s="363">
        <f>$B$56/$B$136</f>
        <v>0.01</v>
      </c>
      <c r="F101" s="323"/>
      <c r="G101" s="365"/>
      <c r="H101" s="370"/>
    </row>
    <row r="102" spans="1:9" ht="18.75" x14ac:dyDescent="0.3">
      <c r="C102" s="316" t="s">
        <v>82</v>
      </c>
      <c r="D102" s="317">
        <f>D101*$B$99</f>
        <v>16.666666666666668</v>
      </c>
      <c r="F102" s="323"/>
      <c r="G102" s="369"/>
      <c r="H102" s="370"/>
    </row>
    <row r="103" spans="1:9" ht="19.5" customHeight="1" thickBot="1" x14ac:dyDescent="0.35">
      <c r="C103" s="324" t="s">
        <v>83</v>
      </c>
      <c r="D103" s="364">
        <f>D102/B34</f>
        <v>17.778874223921711</v>
      </c>
      <c r="F103" s="325"/>
      <c r="G103" s="369"/>
      <c r="H103" s="370"/>
      <c r="I103" s="431"/>
    </row>
    <row r="104" spans="1:9" ht="18.75" x14ac:dyDescent="0.3">
      <c r="C104" s="326" t="s">
        <v>111</v>
      </c>
      <c r="D104" s="327">
        <f>AVERAGE(E92:E95,G92:G95)</f>
        <v>0.32930949074069754</v>
      </c>
      <c r="F104" s="325"/>
      <c r="G104" s="365"/>
      <c r="H104" s="370"/>
      <c r="I104" s="432"/>
    </row>
    <row r="105" spans="1:9" ht="18.75" x14ac:dyDescent="0.3">
      <c r="C105" s="328" t="s">
        <v>85</v>
      </c>
      <c r="D105" s="366">
        <f>STDEV(E92:E95,G92:G95)/D104</f>
        <v>1.4141727412039331E-2</v>
      </c>
      <c r="F105" s="325"/>
      <c r="G105" s="369"/>
      <c r="H105" s="370"/>
      <c r="I105" s="432"/>
    </row>
    <row r="106" spans="1:9" ht="19.5" customHeight="1" thickBot="1" x14ac:dyDescent="0.35">
      <c r="C106" s="330" t="s">
        <v>19</v>
      </c>
      <c r="D106" s="367">
        <f>COUNT(E92:E95,G92:G95)</f>
        <v>6</v>
      </c>
      <c r="F106" s="325"/>
      <c r="G106" s="369"/>
      <c r="H106" s="370"/>
      <c r="I106" s="432"/>
    </row>
    <row r="107" spans="1:9" s="429" customFormat="1" ht="18.75" x14ac:dyDescent="0.3">
      <c r="A107" s="368"/>
      <c r="B107" s="368"/>
      <c r="C107" s="353"/>
      <c r="D107" s="434"/>
      <c r="E107" s="368"/>
      <c r="F107" s="325"/>
      <c r="G107" s="369"/>
      <c r="H107" s="370"/>
      <c r="I107" s="432"/>
    </row>
    <row r="108" spans="1:9" s="429" customFormat="1" ht="18.75" x14ac:dyDescent="0.3">
      <c r="A108" s="282" t="s">
        <v>112</v>
      </c>
      <c r="B108" s="368"/>
      <c r="C108" s="353"/>
      <c r="D108" s="434"/>
      <c r="E108" s="368"/>
      <c r="F108" s="325"/>
      <c r="G108" s="369"/>
      <c r="H108" s="370"/>
      <c r="I108" s="432"/>
    </row>
    <row r="109" spans="1:9" ht="19.5" customHeight="1" thickBot="1" x14ac:dyDescent="0.35">
      <c r="A109" s="332"/>
      <c r="B109" s="332"/>
      <c r="C109" s="332"/>
      <c r="D109" s="332"/>
      <c r="E109" s="332"/>
    </row>
    <row r="110" spans="1:9" ht="26.25" customHeight="1" x14ac:dyDescent="0.3">
      <c r="A110" s="288" t="s">
        <v>113</v>
      </c>
      <c r="B110" s="289">
        <v>1000</v>
      </c>
      <c r="C110" s="411" t="s">
        <v>114</v>
      </c>
      <c r="D110" s="371" t="s">
        <v>65</v>
      </c>
      <c r="E110" s="372" t="s">
        <v>115</v>
      </c>
      <c r="F110" s="373" t="s">
        <v>116</v>
      </c>
    </row>
    <row r="111" spans="1:9" ht="26.25" customHeight="1" x14ac:dyDescent="0.3">
      <c r="A111" s="290" t="s">
        <v>94</v>
      </c>
      <c r="B111" s="291">
        <v>5</v>
      </c>
      <c r="C111" s="374">
        <v>1</v>
      </c>
      <c r="D111" s="600">
        <v>5.0000000000000001E-3</v>
      </c>
      <c r="E111" s="376">
        <f t="shared" ref="E111:E116" si="1">IF(ISBLANK(D111),"-",D111/$D$104*$D$101*$B$119)</f>
        <v>0.60733141808379454</v>
      </c>
      <c r="F111" s="377">
        <f t="shared" ref="F111:F116" si="2">IF(ISBLANK(D111), "-", E111/$B$56)</f>
        <v>1.5183285452094863E-2</v>
      </c>
    </row>
    <row r="112" spans="1:9" ht="26.25" customHeight="1" x14ac:dyDescent="0.3">
      <c r="A112" s="290" t="s">
        <v>96</v>
      </c>
      <c r="B112" s="291">
        <v>20</v>
      </c>
      <c r="C112" s="374">
        <v>2</v>
      </c>
      <c r="D112" s="600">
        <v>6.1999999999999998E-3</v>
      </c>
      <c r="E112" s="378">
        <f t="shared" si="1"/>
        <v>0.75309095842390505</v>
      </c>
      <c r="F112" s="379">
        <f t="shared" si="2"/>
        <v>1.8827273960597628E-2</v>
      </c>
    </row>
    <row r="113" spans="1:9" ht="26.25" customHeight="1" x14ac:dyDescent="0.3">
      <c r="A113" s="290" t="s">
        <v>97</v>
      </c>
      <c r="B113" s="291">
        <v>1</v>
      </c>
      <c r="C113" s="374">
        <v>3</v>
      </c>
      <c r="D113" s="600">
        <v>5.1000000000000004E-3</v>
      </c>
      <c r="E113" s="378">
        <f t="shared" si="1"/>
        <v>0.61947804644547033</v>
      </c>
      <c r="F113" s="379">
        <f t="shared" si="2"/>
        <v>1.5486951161136759E-2</v>
      </c>
    </row>
    <row r="114" spans="1:9" ht="26.25" customHeight="1" x14ac:dyDescent="0.3">
      <c r="A114" s="290" t="s">
        <v>98</v>
      </c>
      <c r="B114" s="291">
        <v>1</v>
      </c>
      <c r="C114" s="374">
        <v>4</v>
      </c>
      <c r="D114" s="600">
        <v>5.5999999999999999E-3</v>
      </c>
      <c r="E114" s="378">
        <f t="shared" si="1"/>
        <v>0.68021118825384985</v>
      </c>
      <c r="F114" s="379">
        <f t="shared" si="2"/>
        <v>1.7005279706346247E-2</v>
      </c>
    </row>
    <row r="115" spans="1:9" ht="26.25" customHeight="1" x14ac:dyDescent="0.3">
      <c r="A115" s="290" t="s">
        <v>99</v>
      </c>
      <c r="B115" s="291">
        <v>1</v>
      </c>
      <c r="C115" s="374">
        <v>5</v>
      </c>
      <c r="D115" s="600">
        <v>4.7000000000000002E-3</v>
      </c>
      <c r="E115" s="378">
        <f t="shared" si="1"/>
        <v>0.57089153299876683</v>
      </c>
      <c r="F115" s="379">
        <f t="shared" si="2"/>
        <v>1.4272288324969171E-2</v>
      </c>
    </row>
    <row r="116" spans="1:9" ht="26.25" customHeight="1" x14ac:dyDescent="0.3">
      <c r="A116" s="290" t="s">
        <v>101</v>
      </c>
      <c r="B116" s="291">
        <v>1</v>
      </c>
      <c r="C116" s="380">
        <v>6</v>
      </c>
      <c r="D116" s="601">
        <v>5.3E-3</v>
      </c>
      <c r="E116" s="382">
        <f t="shared" si="1"/>
        <v>0.64377130316882214</v>
      </c>
      <c r="F116" s="383">
        <f t="shared" si="2"/>
        <v>1.6094282579220555E-2</v>
      </c>
    </row>
    <row r="117" spans="1:9" ht="26.25" customHeight="1" x14ac:dyDescent="0.3">
      <c r="A117" s="290" t="s">
        <v>102</v>
      </c>
      <c r="B117" s="291">
        <v>1</v>
      </c>
      <c r="C117" s="374"/>
      <c r="D117" s="352"/>
      <c r="E117" s="368"/>
      <c r="F117" s="384"/>
    </row>
    <row r="118" spans="1:9" ht="26.25" customHeight="1" x14ac:dyDescent="0.3">
      <c r="A118" s="290" t="s">
        <v>103</v>
      </c>
      <c r="B118" s="291">
        <v>1</v>
      </c>
      <c r="C118" s="374"/>
      <c r="D118" s="385"/>
      <c r="E118" s="386" t="s">
        <v>72</v>
      </c>
      <c r="F118" s="387">
        <f>AVERAGE(F111:F116)</f>
        <v>1.6144893530727535E-2</v>
      </c>
    </row>
    <row r="119" spans="1:9" ht="27" customHeight="1" thickBot="1" x14ac:dyDescent="0.35">
      <c r="A119" s="290" t="s">
        <v>104</v>
      </c>
      <c r="B119" s="388">
        <f>(B118/B117)*(B116/B115)*(B114/B113)*(B112/B111)*B110</f>
        <v>4000</v>
      </c>
      <c r="C119" s="389"/>
      <c r="D119" s="390"/>
      <c r="E119" s="353" t="s">
        <v>85</v>
      </c>
      <c r="F119" s="391">
        <f>STDEV(F111:F116)/F118</f>
        <v>9.9111132958562387E-2</v>
      </c>
    </row>
    <row r="120" spans="1:9" ht="27" customHeight="1" thickBot="1" x14ac:dyDescent="0.35">
      <c r="A120" s="614" t="s">
        <v>79</v>
      </c>
      <c r="B120" s="615"/>
      <c r="C120" s="392"/>
      <c r="D120" s="393"/>
      <c r="E120" s="394" t="s">
        <v>19</v>
      </c>
      <c r="F120" s="395">
        <f>COUNT(F111:F116)</f>
        <v>6</v>
      </c>
      <c r="I120" s="432"/>
    </row>
    <row r="121" spans="1:9" ht="19.5" customHeight="1" thickBot="1" x14ac:dyDescent="0.3">
      <c r="A121" s="616"/>
      <c r="B121" s="617"/>
      <c r="C121" s="368"/>
      <c r="D121" s="368"/>
      <c r="E121" s="368"/>
      <c r="F121" s="352"/>
      <c r="G121" s="368"/>
      <c r="H121" s="368"/>
    </row>
    <row r="122" spans="1:9" ht="18.75" x14ac:dyDescent="0.25">
      <c r="A122" s="422"/>
      <c r="B122" s="422"/>
      <c r="C122" s="368"/>
      <c r="D122" s="368"/>
      <c r="E122" s="368"/>
      <c r="F122" s="352"/>
      <c r="G122" s="368"/>
      <c r="H122" s="368"/>
    </row>
    <row r="123" spans="1:9" ht="26.25" customHeight="1" x14ac:dyDescent="0.25">
      <c r="A123" s="406" t="s">
        <v>117</v>
      </c>
      <c r="B123" s="353" t="s">
        <v>118</v>
      </c>
      <c r="C123" s="618" t="str">
        <f>B20</f>
        <v xml:space="preserve">Pantoprazole </v>
      </c>
      <c r="D123" s="618"/>
      <c r="E123" s="368" t="s">
        <v>119</v>
      </c>
      <c r="F123" s="368"/>
      <c r="G123" s="415">
        <f>F118</f>
        <v>1.6144893530727535E-2</v>
      </c>
      <c r="H123" s="368"/>
    </row>
    <row r="124" spans="1:9" ht="5.25" customHeight="1" thickBot="1" x14ac:dyDescent="0.3">
      <c r="A124" s="422"/>
      <c r="B124" s="422"/>
      <c r="C124" s="368"/>
      <c r="D124" s="368"/>
      <c r="E124" s="368"/>
      <c r="F124" s="352"/>
      <c r="G124" s="368"/>
      <c r="H124" s="368"/>
    </row>
    <row r="125" spans="1:9" ht="19.5" hidden="1" thickBot="1" x14ac:dyDescent="0.35">
      <c r="A125" s="282" t="s">
        <v>120</v>
      </c>
      <c r="B125" s="282"/>
    </row>
    <row r="126" spans="1:9" ht="19.5" hidden="1" customHeight="1" thickBot="1" x14ac:dyDescent="0.35">
      <c r="A126" s="332"/>
      <c r="B126" s="332"/>
      <c r="C126" s="332"/>
      <c r="D126" s="332"/>
      <c r="E126" s="332"/>
    </row>
    <row r="127" spans="1:9" ht="26.25" hidden="1" customHeight="1" thickBot="1" x14ac:dyDescent="0.35">
      <c r="A127" s="288" t="s">
        <v>113</v>
      </c>
      <c r="B127" s="289">
        <v>1000</v>
      </c>
      <c r="C127" s="411" t="s">
        <v>114</v>
      </c>
      <c r="D127" s="371" t="s">
        <v>65</v>
      </c>
      <c r="E127" s="372" t="s">
        <v>115</v>
      </c>
      <c r="F127" s="373" t="s">
        <v>116</v>
      </c>
    </row>
    <row r="128" spans="1:9" ht="26.25" hidden="1" customHeight="1" thickBot="1" x14ac:dyDescent="0.35">
      <c r="A128" s="290" t="s">
        <v>94</v>
      </c>
      <c r="B128" s="291">
        <v>5</v>
      </c>
      <c r="C128" s="374">
        <v>1</v>
      </c>
      <c r="D128" s="375">
        <v>0.3206</v>
      </c>
      <c r="E128" s="396">
        <f t="shared" ref="E128:E133" si="3">IF(ISBLANK(D128),"-",D128/$D$104*$D$101*$B$136)</f>
        <v>38.942090527532898</v>
      </c>
      <c r="F128" s="397">
        <f t="shared" ref="F128:F133" si="4">IF(ISBLANK(D128), "-", E128/$B$56)</f>
        <v>0.97355226318832244</v>
      </c>
    </row>
    <row r="129" spans="1:9" ht="26.25" hidden="1" customHeight="1" thickBot="1" x14ac:dyDescent="0.35">
      <c r="A129" s="290" t="s">
        <v>96</v>
      </c>
      <c r="B129" s="291">
        <v>20</v>
      </c>
      <c r="C129" s="374">
        <v>2</v>
      </c>
      <c r="D129" s="375">
        <v>0.32850000000000001</v>
      </c>
      <c r="E129" s="398">
        <f t="shared" si="3"/>
        <v>39.901674168105295</v>
      </c>
      <c r="F129" s="426">
        <f t="shared" si="4"/>
        <v>0.99754185420263242</v>
      </c>
    </row>
    <row r="130" spans="1:9" ht="26.25" hidden="1" customHeight="1" thickBot="1" x14ac:dyDescent="0.35">
      <c r="A130" s="290" t="s">
        <v>97</v>
      </c>
      <c r="B130" s="291">
        <v>1</v>
      </c>
      <c r="C130" s="374">
        <v>3</v>
      </c>
      <c r="D130" s="375">
        <v>0.32179999999999997</v>
      </c>
      <c r="E130" s="398">
        <f t="shared" si="3"/>
        <v>39.087850067873006</v>
      </c>
      <c r="F130" s="426">
        <f t="shared" si="4"/>
        <v>0.97719625169682511</v>
      </c>
    </row>
    <row r="131" spans="1:9" ht="26.25" hidden="1" customHeight="1" thickBot="1" x14ac:dyDescent="0.35">
      <c r="A131" s="290" t="s">
        <v>98</v>
      </c>
      <c r="B131" s="291">
        <v>1</v>
      </c>
      <c r="C131" s="374">
        <v>4</v>
      </c>
      <c r="D131" s="375">
        <v>0.33479999999999999</v>
      </c>
      <c r="E131" s="398">
        <f t="shared" si="3"/>
        <v>40.666911754890869</v>
      </c>
      <c r="F131" s="426">
        <f t="shared" si="4"/>
        <v>1.0166727938722717</v>
      </c>
    </row>
    <row r="132" spans="1:9" ht="26.25" hidden="1" customHeight="1" thickBot="1" x14ac:dyDescent="0.35">
      <c r="A132" s="290" t="s">
        <v>99</v>
      </c>
      <c r="B132" s="291">
        <v>1</v>
      </c>
      <c r="C132" s="374">
        <v>5</v>
      </c>
      <c r="D132" s="375">
        <v>0.31950000000000001</v>
      </c>
      <c r="E132" s="398">
        <f t="shared" si="3"/>
        <v>38.808477615554466</v>
      </c>
      <c r="F132" s="426">
        <f t="shared" si="4"/>
        <v>0.9702119403888616</v>
      </c>
    </row>
    <row r="133" spans="1:9" ht="26.25" hidden="1" customHeight="1" thickBot="1" x14ac:dyDescent="0.35">
      <c r="A133" s="290" t="s">
        <v>101</v>
      </c>
      <c r="B133" s="291">
        <v>1</v>
      </c>
      <c r="C133" s="380">
        <v>6</v>
      </c>
      <c r="D133" s="381">
        <v>0.33489999999999998</v>
      </c>
      <c r="E133" s="399">
        <f t="shared" si="3"/>
        <v>40.679058383252546</v>
      </c>
      <c r="F133" s="400">
        <f t="shared" si="4"/>
        <v>1.0169764595813136</v>
      </c>
    </row>
    <row r="134" spans="1:9" ht="26.25" hidden="1" customHeight="1" thickBot="1" x14ac:dyDescent="0.35">
      <c r="A134" s="290" t="s">
        <v>102</v>
      </c>
      <c r="B134" s="291">
        <v>1</v>
      </c>
      <c r="C134" s="374"/>
      <c r="D134" s="352"/>
      <c r="E134" s="368"/>
      <c r="F134" s="384"/>
    </row>
    <row r="135" spans="1:9" ht="26.25" hidden="1" customHeight="1" thickBot="1" x14ac:dyDescent="0.35">
      <c r="A135" s="290" t="s">
        <v>103</v>
      </c>
      <c r="B135" s="291">
        <v>1</v>
      </c>
      <c r="C135" s="374"/>
      <c r="D135" s="385"/>
      <c r="E135" s="386" t="s">
        <v>72</v>
      </c>
      <c r="F135" s="387">
        <f>AVERAGE(F128:F133)</f>
        <v>0.99202526048837125</v>
      </c>
    </row>
    <row r="136" spans="1:9" ht="27" hidden="1" customHeight="1" thickBot="1" x14ac:dyDescent="0.35">
      <c r="A136" s="290" t="s">
        <v>104</v>
      </c>
      <c r="B136" s="291">
        <f>(B135/B134)*(B133/B132)*(B131/B130)*(B129/B128)*B127</f>
        <v>4000</v>
      </c>
      <c r="C136" s="389"/>
      <c r="D136" s="368"/>
      <c r="E136" s="401" t="s">
        <v>85</v>
      </c>
      <c r="F136" s="391">
        <f>STDEV(F128:F133)/F135</f>
        <v>2.1608121476601731E-2</v>
      </c>
    </row>
    <row r="137" spans="1:9" ht="27" hidden="1" customHeight="1" thickBot="1" x14ac:dyDescent="0.35">
      <c r="A137" s="614" t="s">
        <v>79</v>
      </c>
      <c r="B137" s="615"/>
      <c r="C137" s="392"/>
      <c r="D137" s="402"/>
      <c r="E137" s="403" t="s">
        <v>19</v>
      </c>
      <c r="F137" s="395">
        <f>COUNT(F128:F133)</f>
        <v>6</v>
      </c>
      <c r="I137" s="432"/>
    </row>
    <row r="138" spans="1:9" ht="19.5" hidden="1" customHeight="1" thickBot="1" x14ac:dyDescent="0.3">
      <c r="A138" s="616"/>
      <c r="B138" s="617"/>
      <c r="C138" s="368"/>
      <c r="D138" s="368"/>
      <c r="E138" s="368"/>
      <c r="F138" s="352"/>
      <c r="G138" s="368"/>
      <c r="H138" s="368"/>
    </row>
    <row r="139" spans="1:9" ht="19.5" hidden="1" thickBot="1" x14ac:dyDescent="0.3">
      <c r="A139" s="422"/>
      <c r="B139" s="422"/>
      <c r="C139" s="368"/>
      <c r="D139" s="368"/>
      <c r="E139" s="368"/>
      <c r="F139" s="352"/>
      <c r="G139" s="368"/>
      <c r="H139" s="368"/>
    </row>
    <row r="140" spans="1:9" ht="26.25" hidden="1" customHeight="1" thickBot="1" x14ac:dyDescent="0.3">
      <c r="A140" s="406" t="s">
        <v>117</v>
      </c>
      <c r="B140" s="353" t="s">
        <v>118</v>
      </c>
      <c r="C140" s="618" t="str">
        <f>B20</f>
        <v xml:space="preserve">Pantoprazole </v>
      </c>
      <c r="D140" s="618"/>
      <c r="E140" s="368" t="s">
        <v>119</v>
      </c>
      <c r="F140" s="368"/>
      <c r="G140" s="415">
        <f>F135</f>
        <v>0.99202526048837125</v>
      </c>
      <c r="H140" s="368"/>
    </row>
    <row r="141" spans="1:9" ht="19.5" hidden="1" customHeight="1" thickBot="1" x14ac:dyDescent="0.3">
      <c r="A141" s="435"/>
      <c r="B141" s="435"/>
      <c r="C141" s="404"/>
      <c r="D141" s="404"/>
      <c r="E141" s="404"/>
      <c r="F141" s="404"/>
      <c r="G141" s="404"/>
      <c r="H141" s="404"/>
    </row>
    <row r="142" spans="1:9" ht="18.75" x14ac:dyDescent="0.3">
      <c r="B142" s="619" t="s">
        <v>25</v>
      </c>
      <c r="C142" s="619"/>
      <c r="E142" s="433" t="s">
        <v>26</v>
      </c>
      <c r="F142" s="405"/>
      <c r="G142" s="619" t="s">
        <v>27</v>
      </c>
      <c r="H142" s="619"/>
    </row>
    <row r="143" spans="1:9" ht="60" customHeight="1" x14ac:dyDescent="0.3">
      <c r="A143" s="406" t="s">
        <v>28</v>
      </c>
      <c r="B143" s="612"/>
      <c r="C143" s="612"/>
      <c r="E143" s="407"/>
      <c r="F143" s="368"/>
      <c r="G143" s="407"/>
      <c r="H143" s="407"/>
    </row>
    <row r="144" spans="1:9" ht="60" customHeight="1" x14ac:dyDescent="0.3">
      <c r="A144" s="406" t="s">
        <v>29</v>
      </c>
      <c r="B144" s="613"/>
      <c r="C144" s="613"/>
      <c r="E144" s="408"/>
      <c r="F144" s="368"/>
      <c r="G144" s="409"/>
      <c r="H144" s="409"/>
    </row>
    <row r="145" spans="1:8" ht="18.75" x14ac:dyDescent="0.25">
      <c r="A145" s="352"/>
      <c r="B145" s="352"/>
      <c r="C145" s="352"/>
      <c r="D145" s="352"/>
      <c r="E145" s="352"/>
      <c r="F145" s="350"/>
      <c r="G145" s="352"/>
      <c r="H145" s="352"/>
    </row>
    <row r="146" spans="1:8" ht="18.75" x14ac:dyDescent="0.25">
      <c r="A146" s="352"/>
      <c r="B146" s="352"/>
      <c r="C146" s="352"/>
      <c r="D146" s="352"/>
      <c r="E146" s="352"/>
      <c r="F146" s="350"/>
      <c r="G146" s="352"/>
      <c r="H146" s="352"/>
    </row>
    <row r="147" spans="1:8" ht="18.75" x14ac:dyDescent="0.25">
      <c r="A147" s="352"/>
      <c r="B147" s="352"/>
      <c r="C147" s="352"/>
      <c r="D147" s="352"/>
      <c r="E147" s="352"/>
      <c r="F147" s="350"/>
      <c r="G147" s="352"/>
      <c r="H147" s="352"/>
    </row>
    <row r="148" spans="1:8" ht="18.75" x14ac:dyDescent="0.25">
      <c r="A148" s="352"/>
      <c r="B148" s="352"/>
      <c r="C148" s="352"/>
      <c r="D148" s="352"/>
      <c r="E148" s="352"/>
      <c r="F148" s="350"/>
      <c r="G148" s="352"/>
      <c r="H148" s="352"/>
    </row>
    <row r="149" spans="1:8" ht="18.75" x14ac:dyDescent="0.25">
      <c r="A149" s="352"/>
      <c r="B149" s="352"/>
      <c r="C149" s="352"/>
      <c r="D149" s="352"/>
      <c r="E149" s="352"/>
      <c r="F149" s="350"/>
      <c r="G149" s="352"/>
      <c r="H149" s="352"/>
    </row>
    <row r="150" spans="1:8" ht="18.75" x14ac:dyDescent="0.25">
      <c r="A150" s="352"/>
      <c r="B150" s="352"/>
      <c r="C150" s="352"/>
      <c r="D150" s="352"/>
      <c r="E150" s="352"/>
      <c r="F150" s="350"/>
      <c r="G150" s="352"/>
      <c r="H150" s="352"/>
    </row>
    <row r="151" spans="1:8" ht="18.75" x14ac:dyDescent="0.25">
      <c r="A151" s="352"/>
      <c r="B151" s="352"/>
      <c r="C151" s="352"/>
      <c r="D151" s="352"/>
      <c r="E151" s="352"/>
      <c r="F151" s="350"/>
      <c r="G151" s="352"/>
      <c r="H151" s="352"/>
    </row>
    <row r="152" spans="1:8" ht="18.75" x14ac:dyDescent="0.25">
      <c r="A152" s="352"/>
      <c r="B152" s="352"/>
      <c r="C152" s="352"/>
      <c r="D152" s="352"/>
      <c r="E152" s="352"/>
      <c r="F152" s="350"/>
      <c r="G152" s="352"/>
      <c r="H152" s="352"/>
    </row>
    <row r="153" spans="1:8" ht="18.75" x14ac:dyDescent="0.25">
      <c r="A153" s="352"/>
      <c r="B153" s="352"/>
      <c r="C153" s="352"/>
      <c r="D153" s="352"/>
      <c r="E153" s="352"/>
      <c r="F153" s="350"/>
      <c r="G153" s="352"/>
      <c r="H153" s="352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D36:E36"/>
    <mergeCell ref="F36:G36"/>
    <mergeCell ref="A1:H7"/>
    <mergeCell ref="A8:H14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A100:B101"/>
    <mergeCell ref="A46:B47"/>
    <mergeCell ref="C60:C63"/>
    <mergeCell ref="D60:D63"/>
    <mergeCell ref="C64:C67"/>
    <mergeCell ref="D64:D67"/>
    <mergeCell ref="C68:C71"/>
    <mergeCell ref="D68:D71"/>
    <mergeCell ref="A70:B71"/>
    <mergeCell ref="G142:H142"/>
    <mergeCell ref="C76:D76"/>
    <mergeCell ref="C83:H83"/>
    <mergeCell ref="C85:H85"/>
    <mergeCell ref="C86:H86"/>
    <mergeCell ref="F90:G90"/>
    <mergeCell ref="B143:C143"/>
    <mergeCell ref="B144:C144"/>
    <mergeCell ref="A120:B121"/>
    <mergeCell ref="C123:D123"/>
    <mergeCell ref="A137:B138"/>
    <mergeCell ref="C140:D140"/>
    <mergeCell ref="B142:C142"/>
  </mergeCells>
  <conditionalFormatting sqref="D51">
    <cfRule type="cellIs" dxfId="8" priority="1" operator="greaterThan">
      <formula>0.02</formula>
    </cfRule>
  </conditionalFormatting>
  <conditionalFormatting sqref="H73">
    <cfRule type="cellIs" dxfId="7" priority="2" operator="greaterThan">
      <formula>0.02</formula>
    </cfRule>
  </conditionalFormatting>
  <conditionalFormatting sqref="D105">
    <cfRule type="cellIs" dxfId="6" priority="3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67" zoomScale="55" zoomScaleNormal="55" workbookViewId="0">
      <selection activeCell="D24" sqref="D24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2" customWidth="1"/>
    <col min="10" max="10" width="34.85546875" style="2" customWidth="1"/>
    <col min="11" max="11" width="9.140625" style="2"/>
  </cols>
  <sheetData>
    <row r="1" spans="1:8" ht="13.5" x14ac:dyDescent="0.25">
      <c r="A1" s="640" t="s">
        <v>47</v>
      </c>
      <c r="B1" s="640"/>
      <c r="C1" s="640"/>
      <c r="D1" s="640"/>
      <c r="E1" s="640"/>
      <c r="F1" s="640"/>
      <c r="G1" s="640"/>
      <c r="H1" s="640"/>
    </row>
    <row r="2" spans="1:8" ht="13.5" x14ac:dyDescent="0.25">
      <c r="A2" s="640"/>
      <c r="B2" s="640"/>
      <c r="C2" s="640"/>
      <c r="D2" s="640"/>
      <c r="E2" s="640"/>
      <c r="F2" s="640"/>
      <c r="G2" s="640"/>
      <c r="H2" s="640"/>
    </row>
    <row r="3" spans="1:8" ht="13.5" x14ac:dyDescent="0.25">
      <c r="A3" s="640"/>
      <c r="B3" s="640"/>
      <c r="C3" s="640"/>
      <c r="D3" s="640"/>
      <c r="E3" s="640"/>
      <c r="F3" s="640"/>
      <c r="G3" s="640"/>
      <c r="H3" s="640"/>
    </row>
    <row r="4" spans="1:8" ht="13.5" x14ac:dyDescent="0.25">
      <c r="A4" s="640"/>
      <c r="B4" s="640"/>
      <c r="C4" s="640"/>
      <c r="D4" s="640"/>
      <c r="E4" s="640"/>
      <c r="F4" s="640"/>
      <c r="G4" s="640"/>
      <c r="H4" s="640"/>
    </row>
    <row r="5" spans="1:8" ht="13.5" x14ac:dyDescent="0.25">
      <c r="A5" s="640"/>
      <c r="B5" s="640"/>
      <c r="C5" s="640"/>
      <c r="D5" s="640"/>
      <c r="E5" s="640"/>
      <c r="F5" s="640"/>
      <c r="G5" s="640"/>
      <c r="H5" s="640"/>
    </row>
    <row r="6" spans="1:8" ht="13.5" x14ac:dyDescent="0.25">
      <c r="A6" s="640"/>
      <c r="B6" s="640"/>
      <c r="C6" s="640"/>
      <c r="D6" s="640"/>
      <c r="E6" s="640"/>
      <c r="F6" s="640"/>
      <c r="G6" s="640"/>
      <c r="H6" s="640"/>
    </row>
    <row r="7" spans="1:8" ht="13.5" x14ac:dyDescent="0.25">
      <c r="A7" s="640"/>
      <c r="B7" s="640"/>
      <c r="C7" s="640"/>
      <c r="D7" s="640"/>
      <c r="E7" s="640"/>
      <c r="F7" s="640"/>
      <c r="G7" s="640"/>
      <c r="H7" s="640"/>
    </row>
    <row r="8" spans="1:8" ht="13.5" x14ac:dyDescent="0.25">
      <c r="A8" s="641" t="s">
        <v>48</v>
      </c>
      <c r="B8" s="641"/>
      <c r="C8" s="641"/>
      <c r="D8" s="641"/>
      <c r="E8" s="641"/>
      <c r="F8" s="641"/>
      <c r="G8" s="641"/>
      <c r="H8" s="641"/>
    </row>
    <row r="9" spans="1:8" ht="13.5" x14ac:dyDescent="0.25">
      <c r="A9" s="641"/>
      <c r="B9" s="641"/>
      <c r="C9" s="641"/>
      <c r="D9" s="641"/>
      <c r="E9" s="641"/>
      <c r="F9" s="641"/>
      <c r="G9" s="641"/>
      <c r="H9" s="641"/>
    </row>
    <row r="10" spans="1:8" ht="13.5" x14ac:dyDescent="0.25">
      <c r="A10" s="641"/>
      <c r="B10" s="641"/>
      <c r="C10" s="641"/>
      <c r="D10" s="641"/>
      <c r="E10" s="641"/>
      <c r="F10" s="641"/>
      <c r="G10" s="641"/>
      <c r="H10" s="641"/>
    </row>
    <row r="11" spans="1:8" ht="13.5" x14ac:dyDescent="0.25">
      <c r="A11" s="641"/>
      <c r="B11" s="641"/>
      <c r="C11" s="641"/>
      <c r="D11" s="641"/>
      <c r="E11" s="641"/>
      <c r="F11" s="641"/>
      <c r="G11" s="641"/>
      <c r="H11" s="641"/>
    </row>
    <row r="12" spans="1:8" ht="13.5" x14ac:dyDescent="0.25">
      <c r="A12" s="641"/>
      <c r="B12" s="641"/>
      <c r="C12" s="641"/>
      <c r="D12" s="641"/>
      <c r="E12" s="641"/>
      <c r="F12" s="641"/>
      <c r="G12" s="641"/>
      <c r="H12" s="641"/>
    </row>
    <row r="13" spans="1:8" ht="13.5" x14ac:dyDescent="0.25">
      <c r="A13" s="641"/>
      <c r="B13" s="641"/>
      <c r="C13" s="641"/>
      <c r="D13" s="641"/>
      <c r="E13" s="641"/>
      <c r="F13" s="641"/>
      <c r="G13" s="641"/>
      <c r="H13" s="641"/>
    </row>
    <row r="14" spans="1:8" ht="13.5" x14ac:dyDescent="0.25">
      <c r="A14" s="641"/>
      <c r="B14" s="641"/>
      <c r="C14" s="641"/>
      <c r="D14" s="641"/>
      <c r="E14" s="641"/>
      <c r="F14" s="641"/>
      <c r="G14" s="641"/>
      <c r="H14" s="641"/>
    </row>
    <row r="15" spans="1:8" ht="19.5" customHeight="1" x14ac:dyDescent="0.3"/>
    <row r="16" spans="1:8" ht="19.5" customHeight="1" x14ac:dyDescent="0.3">
      <c r="A16" s="642" t="s">
        <v>30</v>
      </c>
      <c r="B16" s="643"/>
      <c r="C16" s="643"/>
      <c r="D16" s="643"/>
      <c r="E16" s="643"/>
      <c r="F16" s="643"/>
      <c r="G16" s="643"/>
      <c r="H16" s="644"/>
    </row>
    <row r="17" spans="1:13" ht="20.25" customHeight="1" x14ac:dyDescent="0.25">
      <c r="A17" s="645" t="s">
        <v>49</v>
      </c>
      <c r="B17" s="645"/>
      <c r="C17" s="645"/>
      <c r="D17" s="645"/>
      <c r="E17" s="645"/>
      <c r="F17" s="645"/>
      <c r="G17" s="645"/>
      <c r="H17" s="645"/>
    </row>
    <row r="18" spans="1:13" ht="26.25" customHeight="1" x14ac:dyDescent="0.3">
      <c r="A18" s="100" t="s">
        <v>32</v>
      </c>
      <c r="B18" s="646" t="s">
        <v>5</v>
      </c>
      <c r="C18" s="646"/>
      <c r="D18" s="646"/>
      <c r="E18" s="646"/>
    </row>
    <row r="19" spans="1:13" ht="26.25" customHeight="1" x14ac:dyDescent="0.3">
      <c r="A19" s="100" t="s">
        <v>34</v>
      </c>
      <c r="B19" s="101" t="s">
        <v>7</v>
      </c>
      <c r="C19" s="98">
        <v>2</v>
      </c>
    </row>
    <row r="20" spans="1:13" ht="26.25" customHeight="1" x14ac:dyDescent="0.3">
      <c r="A20" s="100" t="s">
        <v>35</v>
      </c>
      <c r="B20" s="101" t="s">
        <v>123</v>
      </c>
    </row>
    <row r="21" spans="1:13" ht="26.25" customHeight="1" x14ac:dyDescent="0.25">
      <c r="A21" s="100" t="s">
        <v>37</v>
      </c>
      <c r="B21" s="646" t="s">
        <v>10</v>
      </c>
      <c r="C21" s="646"/>
      <c r="D21" s="646"/>
      <c r="E21" s="646"/>
      <c r="F21" s="646"/>
      <c r="G21" s="646"/>
      <c r="H21" s="646"/>
    </row>
    <row r="22" spans="1:13" ht="26.25" customHeight="1" x14ac:dyDescent="0.3">
      <c r="A22" s="100" t="s">
        <v>39</v>
      </c>
      <c r="B22" s="102">
        <v>42551</v>
      </c>
    </row>
    <row r="23" spans="1:13" ht="26.25" customHeight="1" x14ac:dyDescent="0.3">
      <c r="A23" s="100" t="s">
        <v>40</v>
      </c>
      <c r="B23" s="102">
        <v>42552</v>
      </c>
    </row>
    <row r="24" spans="1:13" ht="18.75" x14ac:dyDescent="0.3">
      <c r="A24" s="100"/>
      <c r="B24" s="103"/>
    </row>
    <row r="25" spans="1:13" ht="18.75" x14ac:dyDescent="0.3">
      <c r="A25" s="104" t="s">
        <v>1</v>
      </c>
      <c r="B25" s="103"/>
    </row>
    <row r="26" spans="1:13" ht="26.25" customHeight="1" x14ac:dyDescent="0.3">
      <c r="A26" s="105" t="s">
        <v>4</v>
      </c>
      <c r="B26" s="646" t="s">
        <v>121</v>
      </c>
      <c r="C26" s="646"/>
    </row>
    <row r="27" spans="1:13" ht="26.25" customHeight="1" x14ac:dyDescent="0.3">
      <c r="A27" s="106" t="s">
        <v>50</v>
      </c>
      <c r="B27" s="646" t="s">
        <v>122</v>
      </c>
      <c r="C27" s="646"/>
    </row>
    <row r="28" spans="1:13" ht="27" customHeight="1" x14ac:dyDescent="0.3">
      <c r="A28" s="106" t="s">
        <v>6</v>
      </c>
      <c r="B28" s="107">
        <v>93.3</v>
      </c>
    </row>
    <row r="29" spans="1:13" s="12" customFormat="1" ht="15.75" customHeight="1" x14ac:dyDescent="0.3">
      <c r="A29" s="106" t="s">
        <v>51</v>
      </c>
      <c r="B29" s="108">
        <v>0</v>
      </c>
      <c r="C29" s="620" t="s">
        <v>52</v>
      </c>
      <c r="D29" s="621"/>
      <c r="E29" s="621"/>
      <c r="F29" s="621"/>
      <c r="G29" s="621"/>
      <c r="H29" s="622"/>
      <c r="I29" s="109"/>
      <c r="J29" s="109"/>
      <c r="K29" s="109"/>
    </row>
    <row r="30" spans="1:13" s="12" customFormat="1" ht="19.5" customHeight="1" x14ac:dyDescent="0.3">
      <c r="A30" s="106" t="s">
        <v>53</v>
      </c>
      <c r="B30" s="110">
        <f>B28-B29</f>
        <v>93.3</v>
      </c>
      <c r="C30" s="111"/>
      <c r="D30" s="111"/>
      <c r="E30" s="111"/>
      <c r="F30" s="111"/>
      <c r="G30" s="111"/>
      <c r="H30" s="112"/>
      <c r="I30" s="109"/>
      <c r="J30" s="109"/>
      <c r="K30" s="109"/>
    </row>
    <row r="31" spans="1:13" s="12" customFormat="1" ht="27" customHeight="1" x14ac:dyDescent="0.3">
      <c r="A31" s="106" t="s">
        <v>54</v>
      </c>
      <c r="B31" s="284">
        <v>405.35</v>
      </c>
      <c r="C31" s="623" t="s">
        <v>55</v>
      </c>
      <c r="D31" s="624"/>
      <c r="E31" s="624"/>
      <c r="F31" s="624"/>
      <c r="G31" s="624"/>
      <c r="H31" s="625"/>
      <c r="I31" s="109"/>
      <c r="J31" s="109"/>
      <c r="K31" s="109"/>
    </row>
    <row r="32" spans="1:13" s="12" customFormat="1" ht="27" customHeight="1" x14ac:dyDescent="0.3">
      <c r="A32" s="106" t="s">
        <v>56</v>
      </c>
      <c r="B32" s="284">
        <v>432.4</v>
      </c>
      <c r="C32" s="623" t="s">
        <v>57</v>
      </c>
      <c r="D32" s="624"/>
      <c r="E32" s="624"/>
      <c r="F32" s="624"/>
      <c r="G32" s="624"/>
      <c r="H32" s="625"/>
      <c r="I32" s="109"/>
      <c r="J32" s="109"/>
      <c r="K32" s="114"/>
      <c r="L32" s="114"/>
      <c r="M32" s="115"/>
    </row>
    <row r="33" spans="1:13" s="12" customFormat="1" ht="17.25" customHeight="1" x14ac:dyDescent="0.3">
      <c r="A33" s="106"/>
      <c r="B33" s="116"/>
      <c r="C33" s="117"/>
      <c r="D33" s="117"/>
      <c r="E33" s="117"/>
      <c r="F33" s="117"/>
      <c r="G33" s="117"/>
      <c r="H33" s="117"/>
      <c r="I33" s="109"/>
      <c r="J33" s="109"/>
      <c r="K33" s="114"/>
      <c r="L33" s="114"/>
      <c r="M33" s="115"/>
    </row>
    <row r="34" spans="1:13" s="12" customFormat="1" ht="18.75" x14ac:dyDescent="0.3">
      <c r="A34" s="106" t="s">
        <v>58</v>
      </c>
      <c r="B34" s="118">
        <f>B31/B32</f>
        <v>0.9374421831637374</v>
      </c>
      <c r="C34" s="98" t="s">
        <v>59</v>
      </c>
      <c r="D34" s="98"/>
      <c r="E34" s="98"/>
      <c r="F34" s="98"/>
      <c r="G34" s="98"/>
      <c r="H34" s="119"/>
      <c r="I34" s="109"/>
      <c r="J34" s="109"/>
      <c r="K34" s="114"/>
      <c r="L34" s="114"/>
      <c r="M34" s="115"/>
    </row>
    <row r="35" spans="1:13" s="12" customFormat="1" ht="19.5" customHeight="1" x14ac:dyDescent="0.3">
      <c r="A35" s="106"/>
      <c r="B35" s="110"/>
      <c r="C35" s="119"/>
      <c r="D35" s="119"/>
      <c r="E35" s="119"/>
      <c r="F35" s="119"/>
      <c r="G35" s="98"/>
      <c r="H35" s="119"/>
      <c r="I35" s="109"/>
      <c r="J35" s="109"/>
      <c r="K35" s="114"/>
      <c r="L35" s="114"/>
      <c r="M35" s="115"/>
    </row>
    <row r="36" spans="1:13" s="12" customFormat="1" ht="15.75" customHeight="1" x14ac:dyDescent="0.3">
      <c r="A36" s="120" t="s">
        <v>60</v>
      </c>
      <c r="B36" s="121">
        <v>100</v>
      </c>
      <c r="C36" s="98"/>
      <c r="D36" s="626" t="s">
        <v>61</v>
      </c>
      <c r="E36" s="627"/>
      <c r="F36" s="626" t="s">
        <v>62</v>
      </c>
      <c r="G36" s="627"/>
      <c r="H36" s="119"/>
      <c r="I36" s="109"/>
      <c r="J36" s="109"/>
      <c r="K36" s="114"/>
      <c r="L36" s="114"/>
      <c r="M36" s="115"/>
    </row>
    <row r="37" spans="1:13" s="12" customFormat="1" ht="15.75" customHeight="1" x14ac:dyDescent="0.3">
      <c r="A37" s="122" t="s">
        <v>63</v>
      </c>
      <c r="B37" s="123">
        <v>1</v>
      </c>
      <c r="C37" s="124" t="s">
        <v>64</v>
      </c>
      <c r="D37" s="125" t="s">
        <v>65</v>
      </c>
      <c r="E37" s="126" t="s">
        <v>66</v>
      </c>
      <c r="F37" s="125" t="s">
        <v>65</v>
      </c>
      <c r="G37" s="127" t="s">
        <v>66</v>
      </c>
      <c r="H37" s="119"/>
      <c r="I37" s="109"/>
      <c r="J37" s="109"/>
      <c r="K37" s="114"/>
      <c r="L37" s="114"/>
      <c r="M37" s="115"/>
    </row>
    <row r="38" spans="1:13" s="12" customFormat="1" ht="26.25" customHeight="1" x14ac:dyDescent="0.3">
      <c r="A38" s="122" t="s">
        <v>67</v>
      </c>
      <c r="B38" s="123">
        <v>1</v>
      </c>
      <c r="C38" s="128">
        <v>1</v>
      </c>
      <c r="D38" s="129">
        <v>122858369</v>
      </c>
      <c r="E38" s="130">
        <f>IF(ISBLANK(D38),"-",$D$48/$D$45*D38)</f>
        <v>145186968.0904085</v>
      </c>
      <c r="F38" s="129">
        <v>145554034</v>
      </c>
      <c r="G38" s="131">
        <f>IF(ISBLANK(F38),"-",$D$48/$F$45*F38)</f>
        <v>145215673.32033828</v>
      </c>
      <c r="H38" s="119"/>
      <c r="I38" s="109"/>
      <c r="J38" s="109"/>
      <c r="K38" s="114"/>
      <c r="L38" s="114"/>
      <c r="M38" s="115"/>
    </row>
    <row r="39" spans="1:13" s="12" customFormat="1" ht="26.25" customHeight="1" x14ac:dyDescent="0.3">
      <c r="A39" s="122" t="s">
        <v>68</v>
      </c>
      <c r="B39" s="123">
        <v>1</v>
      </c>
      <c r="C39" s="132">
        <v>2</v>
      </c>
      <c r="D39" s="133">
        <v>122937788</v>
      </c>
      <c r="E39" s="134">
        <f>IF(ISBLANK(D39),"-",$D$48/$D$45*D39)</f>
        <v>145280820.90574881</v>
      </c>
      <c r="F39" s="133">
        <v>145647869</v>
      </c>
      <c r="G39" s="135">
        <f>IF(ISBLANK(F39),"-",$D$48/$F$45*F39)</f>
        <v>145309290.18777606</v>
      </c>
      <c r="H39" s="119"/>
      <c r="I39" s="109"/>
      <c r="J39" s="109"/>
      <c r="K39" s="114"/>
      <c r="L39" s="114"/>
      <c r="M39" s="115"/>
    </row>
    <row r="40" spans="1:13" ht="26.25" customHeight="1" x14ac:dyDescent="0.3">
      <c r="A40" s="122" t="s">
        <v>69</v>
      </c>
      <c r="B40" s="123">
        <v>1</v>
      </c>
      <c r="C40" s="132">
        <v>3</v>
      </c>
      <c r="D40" s="133">
        <v>122904455</v>
      </c>
      <c r="E40" s="134">
        <f>IF(ISBLANK(D40),"-",$D$48/$D$45*D40)</f>
        <v>145241429.87975079</v>
      </c>
      <c r="F40" s="133">
        <v>145719929</v>
      </c>
      <c r="G40" s="135">
        <f>IF(ISBLANK(F40),"-",$D$48/$F$45*F40)</f>
        <v>145381182.67424238</v>
      </c>
      <c r="K40" s="114"/>
      <c r="L40" s="114"/>
      <c r="M40" s="136"/>
    </row>
    <row r="41" spans="1:13" ht="26.25" customHeight="1" x14ac:dyDescent="0.3">
      <c r="A41" s="122" t="s">
        <v>70</v>
      </c>
      <c r="B41" s="123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K41" s="114"/>
      <c r="L41" s="114"/>
      <c r="M41" s="136"/>
    </row>
    <row r="42" spans="1:13" ht="27" customHeight="1" x14ac:dyDescent="0.25">
      <c r="A42" s="122" t="s">
        <v>71</v>
      </c>
      <c r="B42" s="123">
        <v>1</v>
      </c>
      <c r="C42" s="141" t="s">
        <v>72</v>
      </c>
      <c r="D42" s="142">
        <f>AVERAGE(D38:D41)</f>
        <v>122900204</v>
      </c>
      <c r="E42" s="143">
        <f>AVERAGE(E38:E41)</f>
        <v>145236406.29196936</v>
      </c>
      <c r="F42" s="144">
        <f>AVERAGE(F38:F41)</f>
        <v>145640610.66666666</v>
      </c>
      <c r="G42" s="145">
        <f>AVERAGE(G38:G41)</f>
        <v>145302048.72745225</v>
      </c>
      <c r="H42" s="146"/>
    </row>
    <row r="43" spans="1:13" ht="26.25" customHeight="1" x14ac:dyDescent="0.3">
      <c r="A43" s="122" t="s">
        <v>73</v>
      </c>
      <c r="B43" s="107">
        <v>1</v>
      </c>
      <c r="C43" s="147" t="s">
        <v>74</v>
      </c>
      <c r="D43" s="148">
        <v>19.350000000000001</v>
      </c>
      <c r="E43" s="149"/>
      <c r="F43" s="150">
        <v>22.92</v>
      </c>
      <c r="H43" s="146"/>
    </row>
    <row r="44" spans="1:13" ht="26.25" customHeight="1" x14ac:dyDescent="0.3">
      <c r="A44" s="122" t="s">
        <v>75</v>
      </c>
      <c r="B44" s="107">
        <v>1</v>
      </c>
      <c r="C44" s="151" t="s">
        <v>76</v>
      </c>
      <c r="D44" s="152">
        <f>D43*$B$34</f>
        <v>18.139506244218321</v>
      </c>
      <c r="E44" s="153"/>
      <c r="F44" s="154">
        <f>F43*$B$34</f>
        <v>21.486174838112863</v>
      </c>
      <c r="H44" s="146"/>
    </row>
    <row r="45" spans="1:13" ht="19.5" customHeight="1" x14ac:dyDescent="0.3">
      <c r="A45" s="122" t="s">
        <v>77</v>
      </c>
      <c r="B45" s="155">
        <f>(B44/B43)*(B42/B41)*(B40/B39)*(B38/B37)*B36</f>
        <v>100</v>
      </c>
      <c r="C45" s="151" t="s">
        <v>78</v>
      </c>
      <c r="D45" s="156">
        <f>D44*$B$30/100</f>
        <v>16.924159325855694</v>
      </c>
      <c r="E45" s="157"/>
      <c r="F45" s="158">
        <f>F44*$B$30/100</f>
        <v>20.046601123959302</v>
      </c>
      <c r="H45" s="146"/>
    </row>
    <row r="46" spans="1:13" ht="19.5" customHeight="1" x14ac:dyDescent="0.3">
      <c r="A46" s="614" t="s">
        <v>79</v>
      </c>
      <c r="B46" s="615"/>
      <c r="C46" s="151" t="s">
        <v>80</v>
      </c>
      <c r="D46" s="152">
        <f>D45/$B$45</f>
        <v>0.16924159325855695</v>
      </c>
      <c r="E46" s="157"/>
      <c r="F46" s="159">
        <f>F45/$B$45</f>
        <v>0.20046601123959301</v>
      </c>
      <c r="H46" s="146"/>
    </row>
    <row r="47" spans="1:13" ht="27" customHeight="1" x14ac:dyDescent="0.3">
      <c r="A47" s="616"/>
      <c r="B47" s="617"/>
      <c r="C47" s="151" t="s">
        <v>81</v>
      </c>
      <c r="D47" s="160">
        <v>0.2</v>
      </c>
      <c r="F47" s="161"/>
      <c r="H47" s="146"/>
    </row>
    <row r="48" spans="1:13" ht="18.75" x14ac:dyDescent="0.3">
      <c r="C48" s="151" t="s">
        <v>82</v>
      </c>
      <c r="D48" s="152">
        <f>D47*$B$45</f>
        <v>20</v>
      </c>
      <c r="F48" s="161"/>
      <c r="H48" s="146"/>
    </row>
    <row r="49" spans="1:11" ht="19.5" customHeight="1" x14ac:dyDescent="0.3">
      <c r="C49" s="162" t="s">
        <v>83</v>
      </c>
      <c r="D49" s="163">
        <f>D48/B34</f>
        <v>21.334649068706053</v>
      </c>
      <c r="F49" s="164"/>
      <c r="H49" s="146"/>
    </row>
    <row r="50" spans="1:11" ht="18.75" x14ac:dyDescent="0.3">
      <c r="C50" s="165" t="s">
        <v>84</v>
      </c>
      <c r="D50" s="166">
        <f>AVERAGE(E38:E41,G38:G41)</f>
        <v>145269227.50971082</v>
      </c>
      <c r="F50" s="164"/>
      <c r="H50" s="146"/>
    </row>
    <row r="51" spans="1:11" ht="18.75" x14ac:dyDescent="0.3">
      <c r="C51" s="167" t="s">
        <v>85</v>
      </c>
      <c r="D51" s="168">
        <f>STDEV(E38:E41,G38:G41)/D50</f>
        <v>4.8363819804339857E-4</v>
      </c>
      <c r="F51" s="164"/>
    </row>
    <row r="52" spans="1:11" ht="19.5" customHeight="1" x14ac:dyDescent="0.3">
      <c r="C52" s="169" t="s">
        <v>19</v>
      </c>
      <c r="D52" s="170">
        <f>COUNT(E38:E41,G38:G41)</f>
        <v>6</v>
      </c>
      <c r="F52" s="164"/>
    </row>
    <row r="54" spans="1:11" ht="18.75" x14ac:dyDescent="0.3">
      <c r="A54" s="171" t="s">
        <v>1</v>
      </c>
      <c r="B54" s="172" t="s">
        <v>86</v>
      </c>
    </row>
    <row r="55" spans="1:11" ht="18.75" x14ac:dyDescent="0.3">
      <c r="A55" s="98" t="s">
        <v>87</v>
      </c>
      <c r="B55" s="173" t="str">
        <f>B21</f>
        <v>Each tablet contains Pantoprazole sodium 40mg</v>
      </c>
    </row>
    <row r="56" spans="1:11" ht="26.25" customHeight="1" x14ac:dyDescent="0.3">
      <c r="A56" s="174" t="s">
        <v>88</v>
      </c>
      <c r="B56" s="108">
        <v>40</v>
      </c>
      <c r="C56" s="98" t="str">
        <f>B20</f>
        <v xml:space="preserve">Pantoprazole </v>
      </c>
      <c r="H56" s="175"/>
    </row>
    <row r="57" spans="1:11" ht="18.75" x14ac:dyDescent="0.3">
      <c r="A57" s="173" t="s">
        <v>89</v>
      </c>
      <c r="B57" s="276">
        <f>Uniformity!C46</f>
        <v>224.93250000000003</v>
      </c>
      <c r="H57" s="175"/>
    </row>
    <row r="58" spans="1:11" ht="19.5" customHeight="1" x14ac:dyDescent="0.3">
      <c r="H58" s="175"/>
    </row>
    <row r="59" spans="1:11" s="12" customFormat="1" ht="27" customHeight="1" x14ac:dyDescent="0.3">
      <c r="A59" s="120" t="s">
        <v>90</v>
      </c>
      <c r="B59" s="121">
        <v>100</v>
      </c>
      <c r="C59" s="98"/>
      <c r="D59" s="176" t="s">
        <v>91</v>
      </c>
      <c r="E59" s="177" t="s">
        <v>64</v>
      </c>
      <c r="F59" s="177" t="s">
        <v>65</v>
      </c>
      <c r="G59" s="177" t="s">
        <v>92</v>
      </c>
      <c r="H59" s="124" t="s">
        <v>93</v>
      </c>
      <c r="K59" s="109"/>
    </row>
    <row r="60" spans="1:11" s="12" customFormat="1" ht="26.25" customHeight="1" x14ac:dyDescent="0.3">
      <c r="A60" s="122" t="s">
        <v>94</v>
      </c>
      <c r="B60" s="123">
        <v>1</v>
      </c>
      <c r="C60" s="630" t="s">
        <v>95</v>
      </c>
      <c r="D60" s="633">
        <v>107.83</v>
      </c>
      <c r="E60" s="178">
        <v>1</v>
      </c>
      <c r="F60" s="179">
        <v>128015925</v>
      </c>
      <c r="G60" s="180">
        <f>IF(ISBLANK(F60),"-",(F60/$D$50*$D$47*$B$68)*($B$57/$D$60))</f>
        <v>36.764864712305744</v>
      </c>
      <c r="H60" s="181">
        <f t="shared" ref="H60:H71" si="0">IF(ISBLANK(F60),"-",G60/$B$56)</f>
        <v>0.91912161780764357</v>
      </c>
      <c r="K60" s="109"/>
    </row>
    <row r="61" spans="1:11" s="12" customFormat="1" ht="26.25" customHeight="1" x14ac:dyDescent="0.3">
      <c r="A61" s="122" t="s">
        <v>96</v>
      </c>
      <c r="B61" s="123">
        <v>1</v>
      </c>
      <c r="C61" s="631"/>
      <c r="D61" s="634"/>
      <c r="E61" s="182">
        <v>2</v>
      </c>
      <c r="F61" s="133">
        <v>127993306</v>
      </c>
      <c r="G61" s="183">
        <f>IF(ISBLANK(F61),"-",(F61/$D$50*$D$47*$B$68)*($B$57/$D$60))</f>
        <v>36.75836876678234</v>
      </c>
      <c r="H61" s="184">
        <f t="shared" si="0"/>
        <v>0.91895921916955847</v>
      </c>
      <c r="K61" s="109"/>
    </row>
    <row r="62" spans="1:11" s="12" customFormat="1" ht="26.25" customHeight="1" x14ac:dyDescent="0.3">
      <c r="A62" s="122" t="s">
        <v>97</v>
      </c>
      <c r="B62" s="123">
        <v>1</v>
      </c>
      <c r="C62" s="631"/>
      <c r="D62" s="634"/>
      <c r="E62" s="182">
        <v>3</v>
      </c>
      <c r="F62" s="133">
        <v>128095764</v>
      </c>
      <c r="G62" s="183">
        <f>IF(ISBLANK(F62),"-",(F62/$D$50*$D$47*$B$68)*($B$57/$D$60))</f>
        <v>36.787793656761409</v>
      </c>
      <c r="H62" s="184">
        <f t="shared" si="0"/>
        <v>0.91969484141903524</v>
      </c>
      <c r="K62" s="109"/>
    </row>
    <row r="63" spans="1:11" ht="27" customHeight="1" x14ac:dyDescent="0.25">
      <c r="A63" s="122" t="s">
        <v>98</v>
      </c>
      <c r="B63" s="123">
        <v>1</v>
      </c>
      <c r="C63" s="632"/>
      <c r="D63" s="635"/>
      <c r="E63" s="185">
        <v>4</v>
      </c>
      <c r="F63" s="186"/>
      <c r="G63" s="183" t="str">
        <f>IF(ISBLANK(F63),"-",(F63/$D$50*$D$47*$B$68)*($B$57/$D$60))</f>
        <v>-</v>
      </c>
      <c r="H63" s="184" t="str">
        <f t="shared" si="0"/>
        <v>-</v>
      </c>
    </row>
    <row r="64" spans="1:11" ht="26.25" customHeight="1" x14ac:dyDescent="0.25">
      <c r="A64" s="122" t="s">
        <v>99</v>
      </c>
      <c r="B64" s="123">
        <v>1</v>
      </c>
      <c r="C64" s="630" t="s">
        <v>100</v>
      </c>
      <c r="D64" s="633">
        <v>114.27</v>
      </c>
      <c r="E64" s="178">
        <v>1</v>
      </c>
      <c r="F64" s="179">
        <v>139773409</v>
      </c>
      <c r="G64" s="187">
        <f>IF(ISBLANK(F64),"-",(F64/$D$50*$D$47*$B$68)*($B$57/$D$64))</f>
        <v>37.879209652973707</v>
      </c>
      <c r="H64" s="188">
        <f t="shared" si="0"/>
        <v>0.94698024132434266</v>
      </c>
    </row>
    <row r="65" spans="1:8" ht="26.25" customHeight="1" x14ac:dyDescent="0.25">
      <c r="A65" s="122" t="s">
        <v>101</v>
      </c>
      <c r="B65" s="123">
        <v>1</v>
      </c>
      <c r="C65" s="631"/>
      <c r="D65" s="634"/>
      <c r="E65" s="182">
        <v>2</v>
      </c>
      <c r="F65" s="133">
        <v>139785912</v>
      </c>
      <c r="G65" s="189">
        <f>IF(ISBLANK(F65),"-",(F65/$D$50*$D$47*$B$68)*($B$57/$D$64))</f>
        <v>37.882598021059451</v>
      </c>
      <c r="H65" s="190">
        <f t="shared" si="0"/>
        <v>0.94706495052648632</v>
      </c>
    </row>
    <row r="66" spans="1:8" ht="26.25" customHeight="1" x14ac:dyDescent="0.25">
      <c r="A66" s="122" t="s">
        <v>102</v>
      </c>
      <c r="B66" s="123">
        <v>1</v>
      </c>
      <c r="C66" s="631"/>
      <c r="D66" s="634"/>
      <c r="E66" s="182">
        <v>3</v>
      </c>
      <c r="F66" s="133">
        <v>139881282</v>
      </c>
      <c r="G66" s="189">
        <f>IF(ISBLANK(F66),"-",(F66/$D$50*$D$47*$B$68)*($B$57/$D$64))</f>
        <v>37.908443711240793</v>
      </c>
      <c r="H66" s="190">
        <f t="shared" si="0"/>
        <v>0.94771109278101984</v>
      </c>
    </row>
    <row r="67" spans="1:8" ht="27" customHeight="1" x14ac:dyDescent="0.25">
      <c r="A67" s="122" t="s">
        <v>103</v>
      </c>
      <c r="B67" s="123">
        <v>1</v>
      </c>
      <c r="C67" s="632"/>
      <c r="D67" s="635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25">
      <c r="A68" s="122" t="s">
        <v>104</v>
      </c>
      <c r="B68" s="193">
        <f>(B67/B66)*(B65/B64)*(B63/B62)*(B61/B60)*B59</f>
        <v>100</v>
      </c>
      <c r="C68" s="630" t="s">
        <v>105</v>
      </c>
      <c r="D68" s="633">
        <v>110.88</v>
      </c>
      <c r="E68" s="178">
        <v>1</v>
      </c>
      <c r="F68" s="179">
        <v>133908609</v>
      </c>
      <c r="G68" s="187">
        <f>IF(ISBLANK(F68),"-",(F68/$D$50*$D$47*$B$68)*($B$57/$D$68))</f>
        <v>37.399333295363192</v>
      </c>
      <c r="H68" s="184">
        <f t="shared" si="0"/>
        <v>0.93498333238407982</v>
      </c>
    </row>
    <row r="69" spans="1:8" ht="27" customHeight="1" x14ac:dyDescent="0.25">
      <c r="A69" s="194" t="s">
        <v>106</v>
      </c>
      <c r="B69" s="278">
        <f>(D47*B68)/B56*B57</f>
        <v>112.46625000000002</v>
      </c>
      <c r="C69" s="631"/>
      <c r="D69" s="634"/>
      <c r="E69" s="182">
        <v>2</v>
      </c>
      <c r="F69" s="133">
        <v>133791707</v>
      </c>
      <c r="G69" s="189">
        <f>IF(ISBLANK(F69),"-",(F69/$D$50*$D$47*$B$68)*($B$57/$D$68))</f>
        <v>37.366683737627184</v>
      </c>
      <c r="H69" s="184">
        <f t="shared" si="0"/>
        <v>0.93416709344067961</v>
      </c>
    </row>
    <row r="70" spans="1:8" ht="26.25" customHeight="1" x14ac:dyDescent="0.25">
      <c r="A70" s="636" t="s">
        <v>79</v>
      </c>
      <c r="B70" s="637"/>
      <c r="C70" s="631"/>
      <c r="D70" s="634"/>
      <c r="E70" s="182">
        <v>3</v>
      </c>
      <c r="F70" s="133">
        <v>133822653</v>
      </c>
      <c r="G70" s="189">
        <f>IF(ISBLANK(F70),"-",(F70/$D$50*$D$47*$B$68)*($B$57/$D$68))</f>
        <v>37.375326645479049</v>
      </c>
      <c r="H70" s="184">
        <f t="shared" si="0"/>
        <v>0.93438316613697625</v>
      </c>
    </row>
    <row r="71" spans="1:8" ht="27" customHeight="1" x14ac:dyDescent="0.25">
      <c r="A71" s="638"/>
      <c r="B71" s="639"/>
      <c r="C71" s="632"/>
      <c r="D71" s="635"/>
      <c r="E71" s="185">
        <v>4</v>
      </c>
      <c r="F71" s="186"/>
      <c r="G71" s="19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25">
      <c r="A72" s="196"/>
      <c r="B72" s="196"/>
      <c r="C72" s="196"/>
      <c r="D72" s="196"/>
      <c r="E72" s="196"/>
      <c r="F72" s="197"/>
      <c r="G72" s="198" t="s">
        <v>72</v>
      </c>
      <c r="H72" s="199">
        <f>AVERAGE(H60:H71)</f>
        <v>0.9336739505544247</v>
      </c>
    </row>
    <row r="73" spans="1:8" ht="26.25" customHeight="1" x14ac:dyDescent="0.3">
      <c r="C73" s="196"/>
      <c r="D73" s="196"/>
      <c r="E73" s="196"/>
      <c r="F73" s="197"/>
      <c r="G73" s="167" t="s">
        <v>85</v>
      </c>
      <c r="H73" s="200">
        <f>STDEV(H60:H71)/H72</f>
        <v>1.3005433727767511E-2</v>
      </c>
    </row>
    <row r="74" spans="1:8" ht="27" customHeight="1" x14ac:dyDescent="0.25">
      <c r="A74" s="196"/>
      <c r="B74" s="196"/>
      <c r="C74" s="197"/>
      <c r="D74" s="197"/>
      <c r="E74" s="201"/>
      <c r="F74" s="197"/>
      <c r="G74" s="169" t="s">
        <v>19</v>
      </c>
      <c r="H74" s="202">
        <f>COUNT(H60:H71)</f>
        <v>9</v>
      </c>
    </row>
    <row r="75" spans="1:8" s="99" customFormat="1" ht="18.75" x14ac:dyDescent="0.3">
      <c r="A75" s="203"/>
      <c r="B75" s="203"/>
      <c r="C75" s="153"/>
      <c r="D75" s="153"/>
      <c r="E75" s="157"/>
      <c r="F75" s="153"/>
      <c r="G75" s="204"/>
      <c r="H75" s="205"/>
    </row>
    <row r="76" spans="1:8" s="99" customFormat="1" ht="26.25" customHeight="1" x14ac:dyDescent="0.3">
      <c r="A76" s="105" t="s">
        <v>107</v>
      </c>
      <c r="B76" s="206" t="s">
        <v>108</v>
      </c>
      <c r="C76" s="618" t="str">
        <f>B20</f>
        <v xml:space="preserve">Pantoprazole </v>
      </c>
      <c r="D76" s="618"/>
      <c r="E76" s="207" t="s">
        <v>109</v>
      </c>
      <c r="F76" s="207"/>
      <c r="G76" s="277">
        <f>H72</f>
        <v>0.9336739505544247</v>
      </c>
      <c r="H76" s="205"/>
    </row>
    <row r="77" spans="1:8" ht="18.75" x14ac:dyDescent="0.25">
      <c r="A77" s="196"/>
      <c r="B77" s="196"/>
      <c r="C77" s="197"/>
      <c r="D77" s="197"/>
      <c r="E77" s="201"/>
      <c r="F77" s="197"/>
      <c r="G77" s="208"/>
      <c r="H77" s="205"/>
    </row>
    <row r="78" spans="1:8" ht="18.75" x14ac:dyDescent="0.3">
      <c r="A78" s="104"/>
      <c r="B78" s="104" t="s">
        <v>110</v>
      </c>
    </row>
    <row r="79" spans="1:8" ht="18.75" x14ac:dyDescent="0.3">
      <c r="A79" s="104"/>
      <c r="B79" s="104"/>
    </row>
    <row r="80" spans="1:8" ht="26.25" customHeight="1" x14ac:dyDescent="0.3">
      <c r="A80" s="105" t="s">
        <v>4</v>
      </c>
      <c r="B80" s="108" t="s">
        <v>121</v>
      </c>
    </row>
    <row r="81" spans="1:11" ht="26.25" customHeight="1" x14ac:dyDescent="0.3">
      <c r="A81" s="106" t="s">
        <v>50</v>
      </c>
      <c r="B81" s="108" t="str">
        <f>B27</f>
        <v>P11-2</v>
      </c>
    </row>
    <row r="82" spans="1:11" ht="27" customHeight="1" x14ac:dyDescent="0.3">
      <c r="A82" s="106" t="s">
        <v>6</v>
      </c>
      <c r="B82" s="108">
        <f>B28</f>
        <v>93.3</v>
      </c>
    </row>
    <row r="83" spans="1:11" s="12" customFormat="1" ht="27" customHeight="1" x14ac:dyDescent="0.3">
      <c r="A83" s="106" t="s">
        <v>51</v>
      </c>
      <c r="B83" s="108">
        <f>B29</f>
        <v>0</v>
      </c>
      <c r="C83" s="620" t="s">
        <v>52</v>
      </c>
      <c r="D83" s="621"/>
      <c r="E83" s="621"/>
      <c r="F83" s="621"/>
      <c r="G83" s="621"/>
      <c r="H83" s="622"/>
      <c r="I83" s="109"/>
      <c r="J83" s="109"/>
      <c r="K83" s="109"/>
    </row>
    <row r="84" spans="1:11" s="12" customFormat="1" ht="19.5" customHeight="1" x14ac:dyDescent="0.3">
      <c r="A84" s="106" t="s">
        <v>53</v>
      </c>
      <c r="B84" s="110">
        <f>B82-B83</f>
        <v>93.3</v>
      </c>
      <c r="C84" s="111"/>
      <c r="D84" s="111"/>
      <c r="E84" s="111"/>
      <c r="F84" s="111"/>
      <c r="G84" s="111"/>
      <c r="H84" s="112"/>
      <c r="I84" s="109"/>
      <c r="J84" s="109"/>
      <c r="K84" s="109"/>
    </row>
    <row r="85" spans="1:11" s="12" customFormat="1" ht="27" customHeight="1" x14ac:dyDescent="0.3">
      <c r="A85" s="106" t="s">
        <v>54</v>
      </c>
      <c r="B85" s="113">
        <v>405.35</v>
      </c>
      <c r="C85" s="623" t="s">
        <v>55</v>
      </c>
      <c r="D85" s="624"/>
      <c r="E85" s="624"/>
      <c r="F85" s="624"/>
      <c r="G85" s="624"/>
      <c r="H85" s="625"/>
      <c r="I85" s="109"/>
      <c r="J85" s="109"/>
      <c r="K85" s="109"/>
    </row>
    <row r="86" spans="1:11" s="12" customFormat="1" ht="27" customHeight="1" x14ac:dyDescent="0.3">
      <c r="A86" s="106" t="s">
        <v>56</v>
      </c>
      <c r="B86" s="113">
        <v>432.4</v>
      </c>
      <c r="C86" s="623" t="s">
        <v>57</v>
      </c>
      <c r="D86" s="624"/>
      <c r="E86" s="624"/>
      <c r="F86" s="624"/>
      <c r="G86" s="624"/>
      <c r="H86" s="625"/>
      <c r="I86" s="109"/>
      <c r="J86" s="109"/>
      <c r="K86" s="109"/>
    </row>
    <row r="87" spans="1:11" s="12" customFormat="1" ht="18.75" x14ac:dyDescent="0.3">
      <c r="A87" s="106"/>
      <c r="B87" s="116"/>
      <c r="C87" s="117"/>
      <c r="D87" s="117"/>
      <c r="E87" s="117"/>
      <c r="F87" s="117"/>
      <c r="G87" s="117"/>
      <c r="H87" s="117"/>
      <c r="I87" s="109"/>
      <c r="J87" s="109"/>
      <c r="K87" s="109"/>
    </row>
    <row r="88" spans="1:11" s="12" customFormat="1" ht="18.75" x14ac:dyDescent="0.3">
      <c r="A88" s="106" t="s">
        <v>58</v>
      </c>
      <c r="B88" s="118">
        <f>B85/B86</f>
        <v>0.9374421831637374</v>
      </c>
      <c r="C88" s="98" t="s">
        <v>59</v>
      </c>
      <c r="D88" s="98"/>
      <c r="E88" s="98"/>
      <c r="F88" s="98"/>
      <c r="G88" s="98"/>
      <c r="H88" s="119"/>
      <c r="I88" s="109"/>
      <c r="J88" s="109"/>
      <c r="K88" s="109"/>
    </row>
    <row r="89" spans="1:11" ht="19.5" customHeight="1" x14ac:dyDescent="0.3">
      <c r="A89" s="104"/>
      <c r="B89" s="104"/>
    </row>
    <row r="90" spans="1:11" ht="27" customHeight="1" x14ac:dyDescent="0.3">
      <c r="A90" s="120" t="s">
        <v>60</v>
      </c>
      <c r="B90" s="121">
        <v>50</v>
      </c>
      <c r="D90" s="209" t="s">
        <v>61</v>
      </c>
      <c r="E90" s="210"/>
      <c r="F90" s="626" t="s">
        <v>62</v>
      </c>
      <c r="G90" s="627"/>
    </row>
    <row r="91" spans="1:11" ht="26.25" customHeight="1" x14ac:dyDescent="0.3">
      <c r="A91" s="122" t="s">
        <v>63</v>
      </c>
      <c r="B91" s="123">
        <v>3</v>
      </c>
      <c r="C91" s="211" t="s">
        <v>64</v>
      </c>
      <c r="D91" s="125" t="s">
        <v>65</v>
      </c>
      <c r="E91" s="126" t="s">
        <v>66</v>
      </c>
      <c r="F91" s="125" t="s">
        <v>65</v>
      </c>
      <c r="G91" s="127" t="s">
        <v>66</v>
      </c>
    </row>
    <row r="92" spans="1:11" ht="26.25" customHeight="1" x14ac:dyDescent="0.3">
      <c r="A92" s="122" t="s">
        <v>67</v>
      </c>
      <c r="B92" s="123">
        <v>100</v>
      </c>
      <c r="C92" s="212">
        <v>1</v>
      </c>
      <c r="D92" s="129">
        <v>0.3891</v>
      </c>
      <c r="E92" s="130">
        <f>IF(ISBLANK(D92),"-",$D$102/$D$99*D92)</f>
        <v>0.34582713245108548</v>
      </c>
      <c r="F92" s="129">
        <v>0.36880000000000002</v>
      </c>
      <c r="G92" s="131">
        <f>IF(ISBLANK(F92),"-",$D$102/$F$99*F92)</f>
        <v>0.35279643836774366</v>
      </c>
    </row>
    <row r="93" spans="1:11" ht="26.25" customHeight="1" x14ac:dyDescent="0.3">
      <c r="A93" s="122" t="s">
        <v>68</v>
      </c>
      <c r="B93" s="123">
        <v>1</v>
      </c>
      <c r="C93" s="197">
        <v>2</v>
      </c>
      <c r="D93" s="133">
        <v>0.39250000000000002</v>
      </c>
      <c r="E93" s="134">
        <f>IF(ISBLANK(D93),"-",$D$102/$D$99*D93)</f>
        <v>0.34884900921884104</v>
      </c>
      <c r="F93" s="133">
        <v>0.36659999999999998</v>
      </c>
      <c r="G93" s="135">
        <f>IF(ISBLANK(F93),"-",$D$102/$F$99*F93)</f>
        <v>0.3506919042993894</v>
      </c>
    </row>
    <row r="94" spans="1:11" ht="26.25" customHeight="1" x14ac:dyDescent="0.3">
      <c r="A94" s="122" t="s">
        <v>69</v>
      </c>
      <c r="B94" s="123">
        <v>1</v>
      </c>
      <c r="C94" s="197">
        <v>3</v>
      </c>
      <c r="D94" s="133">
        <v>0.39029999999999998</v>
      </c>
      <c r="E94" s="134">
        <f>IF(ISBLANK(D94),"-",$D$102/$D$99*D94)</f>
        <v>0.34689367719264624</v>
      </c>
      <c r="F94" s="133">
        <v>0.3644</v>
      </c>
      <c r="G94" s="135">
        <f>IF(ISBLANK(F94),"-",$D$102/$F$99*F94)</f>
        <v>0.3485873702310352</v>
      </c>
    </row>
    <row r="95" spans="1:11" ht="26.25" customHeight="1" x14ac:dyDescent="0.3">
      <c r="A95" s="122" t="s">
        <v>70</v>
      </c>
      <c r="B95" s="123">
        <v>1</v>
      </c>
      <c r="C95" s="213">
        <v>4</v>
      </c>
      <c r="D95" s="138"/>
      <c r="E95" s="139" t="str">
        <f>IF(ISBLANK(D95),"-",$D$102/$D$99*D95)</f>
        <v>-</v>
      </c>
      <c r="F95" s="214"/>
      <c r="G95" s="140" t="str">
        <f>IF(ISBLANK(F95),"-",$D$102/$F$99*F95)</f>
        <v>-</v>
      </c>
    </row>
    <row r="96" spans="1:11" ht="27" customHeight="1" x14ac:dyDescent="0.3">
      <c r="A96" s="122" t="s">
        <v>71</v>
      </c>
      <c r="B96" s="123">
        <v>1</v>
      </c>
      <c r="C96" s="208" t="s">
        <v>72</v>
      </c>
      <c r="D96" s="215">
        <f>AVERAGE(D92:D95)</f>
        <v>0.39063333333333333</v>
      </c>
      <c r="E96" s="143">
        <f>AVERAGE(E92:E95)</f>
        <v>0.34718993962085759</v>
      </c>
      <c r="F96" s="216">
        <f>AVERAGE(F92:F95)</f>
        <v>0.36660000000000004</v>
      </c>
      <c r="G96" s="217">
        <f>AVERAGE(G92:G95)</f>
        <v>0.3506919042993894</v>
      </c>
    </row>
    <row r="97" spans="1:9" ht="26.25" customHeight="1" x14ac:dyDescent="0.3">
      <c r="A97" s="122" t="s">
        <v>73</v>
      </c>
      <c r="B97" s="107">
        <v>1</v>
      </c>
      <c r="C97" s="147" t="s">
        <v>74</v>
      </c>
      <c r="D97" s="218">
        <v>21.44</v>
      </c>
      <c r="E97" s="149"/>
      <c r="F97" s="150">
        <v>19.920000000000002</v>
      </c>
    </row>
    <row r="98" spans="1:9" ht="26.25" customHeight="1" x14ac:dyDescent="0.3">
      <c r="A98" s="122" t="s">
        <v>75</v>
      </c>
      <c r="B98" s="107">
        <v>1</v>
      </c>
      <c r="C98" s="151" t="s">
        <v>76</v>
      </c>
      <c r="D98" s="152">
        <f>D97*$B$88</f>
        <v>20.098760407030532</v>
      </c>
      <c r="E98" s="153"/>
      <c r="F98" s="154">
        <f>F97*$B$88</f>
        <v>18.673848288621649</v>
      </c>
    </row>
    <row r="99" spans="1:9" ht="19.5" customHeight="1" x14ac:dyDescent="0.3">
      <c r="A99" s="122" t="s">
        <v>77</v>
      </c>
      <c r="B99" s="155">
        <f>(B98/B97)*(B96/B95)*(B94/B93)*(B92/B91)*B90</f>
        <v>1666.6666666666667</v>
      </c>
      <c r="C99" s="151" t="s">
        <v>78</v>
      </c>
      <c r="D99" s="156">
        <f>D98*$B$84/100</f>
        <v>18.752143459759488</v>
      </c>
      <c r="E99" s="157"/>
      <c r="F99" s="158">
        <f>F98*$B$84/100</f>
        <v>17.422700453283998</v>
      </c>
    </row>
    <row r="100" spans="1:9" ht="19.5" customHeight="1" x14ac:dyDescent="0.25">
      <c r="A100" s="614" t="s">
        <v>79</v>
      </c>
      <c r="B100" s="628"/>
      <c r="C100" s="151" t="s">
        <v>80</v>
      </c>
      <c r="D100" s="219">
        <f>D99/$B$99</f>
        <v>1.1251286075855692E-2</v>
      </c>
      <c r="E100" s="157"/>
      <c r="F100" s="220">
        <f>F99/$B$99</f>
        <v>1.0453620271970398E-2</v>
      </c>
      <c r="G100" s="221"/>
      <c r="H100" s="146"/>
    </row>
    <row r="101" spans="1:9" ht="19.5" customHeight="1" x14ac:dyDescent="0.3">
      <c r="A101" s="616"/>
      <c r="B101" s="629"/>
      <c r="C101" s="151" t="s">
        <v>81</v>
      </c>
      <c r="D101" s="222">
        <f>$B$56/$B$136</f>
        <v>0.01</v>
      </c>
      <c r="F101" s="161"/>
      <c r="G101" s="223"/>
      <c r="H101" s="146"/>
    </row>
    <row r="102" spans="1:9" ht="18.75" x14ac:dyDescent="0.3">
      <c r="C102" s="151" t="s">
        <v>82</v>
      </c>
      <c r="D102" s="152">
        <f>D101*$B$99</f>
        <v>16.666666666666668</v>
      </c>
      <c r="F102" s="161"/>
      <c r="G102" s="221"/>
      <c r="H102" s="146"/>
    </row>
    <row r="103" spans="1:9" ht="19.5" customHeight="1" x14ac:dyDescent="0.3">
      <c r="C103" s="162" t="s">
        <v>83</v>
      </c>
      <c r="D103" s="224">
        <f>D102/B34</f>
        <v>17.778874223921711</v>
      </c>
      <c r="F103" s="164"/>
      <c r="G103" s="221"/>
      <c r="H103" s="146"/>
      <c r="I103" s="225"/>
    </row>
    <row r="104" spans="1:9" ht="18.75" x14ac:dyDescent="0.3">
      <c r="C104" s="165" t="s">
        <v>111</v>
      </c>
      <c r="D104" s="166">
        <f>AVERAGE(E92:E95,G92:G95)</f>
        <v>0.34894092196012355</v>
      </c>
      <c r="F104" s="164"/>
      <c r="G104" s="226"/>
      <c r="H104" s="146"/>
      <c r="I104" s="227"/>
    </row>
    <row r="105" spans="1:9" ht="18.75" x14ac:dyDescent="0.3">
      <c r="C105" s="167" t="s">
        <v>85</v>
      </c>
      <c r="D105" s="228">
        <f>STDEV(E92:E95,G92:G95)/D104</f>
        <v>7.2444811203504463E-3</v>
      </c>
      <c r="F105" s="164"/>
      <c r="G105" s="221"/>
      <c r="H105" s="146"/>
      <c r="I105" s="227"/>
    </row>
    <row r="106" spans="1:9" ht="19.5" customHeight="1" x14ac:dyDescent="0.3">
      <c r="C106" s="169" t="s">
        <v>19</v>
      </c>
      <c r="D106" s="229">
        <f>COUNT(E92:E95,G92:G95)</f>
        <v>6</v>
      </c>
      <c r="F106" s="164"/>
      <c r="G106" s="221"/>
      <c r="H106" s="146"/>
      <c r="I106" s="227"/>
    </row>
    <row r="107" spans="1:9" s="99" customFormat="1" ht="18.75" x14ac:dyDescent="0.3">
      <c r="A107" s="230"/>
      <c r="B107" s="230"/>
      <c r="C107" s="204"/>
      <c r="D107" s="205"/>
      <c r="E107" s="230"/>
      <c r="F107" s="164"/>
      <c r="G107" s="231"/>
      <c r="H107" s="232"/>
      <c r="I107" s="227"/>
    </row>
    <row r="108" spans="1:9" s="99" customFormat="1" ht="18.75" x14ac:dyDescent="0.3">
      <c r="A108" s="104" t="s">
        <v>112</v>
      </c>
      <c r="B108" s="230"/>
      <c r="C108" s="204"/>
      <c r="D108" s="205"/>
      <c r="E108" s="230"/>
      <c r="F108" s="164"/>
      <c r="G108" s="231"/>
      <c r="H108" s="232"/>
      <c r="I108" s="227"/>
    </row>
    <row r="109" spans="1:9" ht="19.5" customHeight="1" x14ac:dyDescent="0.3">
      <c r="A109" s="171"/>
      <c r="B109" s="171"/>
      <c r="C109" s="171"/>
      <c r="D109" s="171"/>
      <c r="E109" s="171"/>
    </row>
    <row r="110" spans="1:9" ht="26.25" customHeight="1" x14ac:dyDescent="0.3">
      <c r="A110" s="120" t="s">
        <v>113</v>
      </c>
      <c r="B110" s="121">
        <v>1000</v>
      </c>
      <c r="C110" s="233" t="s">
        <v>114</v>
      </c>
      <c r="D110" s="234" t="s">
        <v>65</v>
      </c>
      <c r="E110" s="235" t="s">
        <v>115</v>
      </c>
      <c r="F110" s="236" t="s">
        <v>116</v>
      </c>
    </row>
    <row r="111" spans="1:9" ht="26.25" customHeight="1" x14ac:dyDescent="0.3">
      <c r="A111" s="122" t="s">
        <v>94</v>
      </c>
      <c r="B111" s="123">
        <v>5</v>
      </c>
      <c r="C111" s="237">
        <v>1</v>
      </c>
      <c r="D111" s="600">
        <v>0.3206</v>
      </c>
      <c r="E111" s="239">
        <f t="shared" ref="E111:E116" si="1">IF(ISBLANK(D111),"-",D111/$D$104*$D$101*$B$119)</f>
        <v>36.75120684602738</v>
      </c>
      <c r="F111" s="240">
        <f t="shared" ref="F111:F116" si="2">IF(ISBLANK(D111), "-", E111/$B$56)</f>
        <v>0.91878017115068444</v>
      </c>
    </row>
    <row r="112" spans="1:9" ht="26.25" customHeight="1" x14ac:dyDescent="0.3">
      <c r="A112" s="122" t="s">
        <v>96</v>
      </c>
      <c r="B112" s="123">
        <v>20</v>
      </c>
      <c r="C112" s="237">
        <v>2</v>
      </c>
      <c r="D112" s="600">
        <v>0.32850000000000001</v>
      </c>
      <c r="E112" s="241">
        <f t="shared" si="1"/>
        <v>37.656804269868985</v>
      </c>
      <c r="F112" s="242">
        <f t="shared" si="2"/>
        <v>0.94142010674672461</v>
      </c>
    </row>
    <row r="113" spans="1:9" ht="26.25" customHeight="1" x14ac:dyDescent="0.3">
      <c r="A113" s="122" t="s">
        <v>97</v>
      </c>
      <c r="B113" s="123">
        <v>1</v>
      </c>
      <c r="C113" s="237">
        <v>3</v>
      </c>
      <c r="D113" s="600">
        <v>0.32179999999999997</v>
      </c>
      <c r="E113" s="241">
        <f t="shared" si="1"/>
        <v>36.888765948383067</v>
      </c>
      <c r="F113" s="242">
        <f t="shared" si="2"/>
        <v>0.92221914870957666</v>
      </c>
    </row>
    <row r="114" spans="1:9" ht="26.25" customHeight="1" x14ac:dyDescent="0.3">
      <c r="A114" s="122" t="s">
        <v>98</v>
      </c>
      <c r="B114" s="123">
        <v>1</v>
      </c>
      <c r="C114" s="237">
        <v>4</v>
      </c>
      <c r="D114" s="600">
        <v>0.33479999999999999</v>
      </c>
      <c r="E114" s="241">
        <f t="shared" si="1"/>
        <v>38.378989557236338</v>
      </c>
      <c r="F114" s="242">
        <f t="shared" si="2"/>
        <v>0.9594747389309084</v>
      </c>
    </row>
    <row r="115" spans="1:9" ht="26.25" customHeight="1" x14ac:dyDescent="0.3">
      <c r="A115" s="122" t="s">
        <v>99</v>
      </c>
      <c r="B115" s="123">
        <v>1</v>
      </c>
      <c r="C115" s="237">
        <v>5</v>
      </c>
      <c r="D115" s="600">
        <v>0.31950000000000001</v>
      </c>
      <c r="E115" s="241">
        <f t="shared" si="1"/>
        <v>36.625111002201336</v>
      </c>
      <c r="F115" s="242">
        <f t="shared" si="2"/>
        <v>0.91562777505503345</v>
      </c>
    </row>
    <row r="116" spans="1:9" ht="26.25" customHeight="1" x14ac:dyDescent="0.3">
      <c r="A116" s="122" t="s">
        <v>101</v>
      </c>
      <c r="B116" s="123">
        <v>1</v>
      </c>
      <c r="C116" s="243">
        <v>6</v>
      </c>
      <c r="D116" s="601">
        <v>0.33489999999999998</v>
      </c>
      <c r="E116" s="245">
        <f t="shared" si="1"/>
        <v>38.390452815765975</v>
      </c>
      <c r="F116" s="246">
        <f t="shared" si="2"/>
        <v>0.95976132039414941</v>
      </c>
    </row>
    <row r="117" spans="1:9" ht="26.25" customHeight="1" x14ac:dyDescent="0.3">
      <c r="A117" s="122" t="s">
        <v>102</v>
      </c>
      <c r="B117" s="123">
        <v>1</v>
      </c>
      <c r="C117" s="237"/>
      <c r="D117" s="197"/>
      <c r="E117" s="207"/>
      <c r="F117" s="247"/>
    </row>
    <row r="118" spans="1:9" ht="26.25" customHeight="1" x14ac:dyDescent="0.3">
      <c r="A118" s="122" t="s">
        <v>103</v>
      </c>
      <c r="B118" s="123">
        <v>1</v>
      </c>
      <c r="C118" s="237"/>
      <c r="D118" s="248"/>
      <c r="E118" s="249" t="s">
        <v>72</v>
      </c>
      <c r="F118" s="250">
        <f>AVERAGE(F111:F116)</f>
        <v>0.93621387683117951</v>
      </c>
    </row>
    <row r="119" spans="1:9" ht="27" customHeight="1" x14ac:dyDescent="0.3">
      <c r="A119" s="122" t="s">
        <v>104</v>
      </c>
      <c r="B119" s="251">
        <f>(B118/B117)*(B116/B115)*(B114/B113)*(B112/B111)*B110</f>
        <v>4000</v>
      </c>
      <c r="C119" s="252"/>
      <c r="D119" s="253"/>
      <c r="E119" s="208" t="s">
        <v>85</v>
      </c>
      <c r="F119" s="254">
        <f>STDEV(F111:F116)/F118</f>
        <v>2.160812147660188E-2</v>
      </c>
    </row>
    <row r="120" spans="1:9" ht="27" customHeight="1" x14ac:dyDescent="0.3">
      <c r="A120" s="614" t="s">
        <v>79</v>
      </c>
      <c r="B120" s="615"/>
      <c r="C120" s="255"/>
      <c r="D120" s="256"/>
      <c r="E120" s="257" t="s">
        <v>19</v>
      </c>
      <c r="F120" s="258">
        <f>COUNT(F111:F116)</f>
        <v>6</v>
      </c>
      <c r="I120" s="227"/>
    </row>
    <row r="121" spans="1:9" ht="19.5" customHeight="1" x14ac:dyDescent="0.25">
      <c r="A121" s="616"/>
      <c r="B121" s="617"/>
      <c r="C121" s="207"/>
      <c r="D121" s="207"/>
      <c r="E121" s="207"/>
      <c r="F121" s="197"/>
      <c r="G121" s="207"/>
      <c r="H121" s="207"/>
    </row>
    <row r="122" spans="1:9" ht="18.75" x14ac:dyDescent="0.25">
      <c r="A122" s="117"/>
      <c r="B122" s="117"/>
      <c r="C122" s="207"/>
      <c r="D122" s="207"/>
      <c r="E122" s="207"/>
      <c r="F122" s="197"/>
      <c r="G122" s="207"/>
      <c r="H122" s="207"/>
    </row>
    <row r="123" spans="1:9" ht="26.25" customHeight="1" x14ac:dyDescent="0.25">
      <c r="A123" s="105" t="s">
        <v>117</v>
      </c>
      <c r="B123" s="206" t="s">
        <v>118</v>
      </c>
      <c r="C123" s="618" t="str">
        <f>B20</f>
        <v xml:space="preserve">Pantoprazole </v>
      </c>
      <c r="D123" s="618"/>
      <c r="E123" s="207" t="s">
        <v>119</v>
      </c>
      <c r="F123" s="207"/>
      <c r="G123" s="277">
        <f>F118</f>
        <v>0.93621387683117951</v>
      </c>
      <c r="H123" s="207"/>
    </row>
    <row r="124" spans="1:9" ht="0.75" customHeight="1" x14ac:dyDescent="0.25">
      <c r="A124" s="117"/>
      <c r="B124" s="117"/>
      <c r="C124" s="207"/>
      <c r="D124" s="207"/>
      <c r="E124" s="207"/>
      <c r="F124" s="197"/>
      <c r="G124" s="207"/>
      <c r="H124" s="207"/>
    </row>
    <row r="125" spans="1:9" ht="18.75" hidden="1" x14ac:dyDescent="0.3">
      <c r="A125" s="104" t="s">
        <v>120</v>
      </c>
      <c r="B125" s="104"/>
    </row>
    <row r="126" spans="1:9" ht="19.5" hidden="1" customHeight="1" x14ac:dyDescent="0.3">
      <c r="A126" s="171"/>
      <c r="B126" s="171"/>
      <c r="C126" s="171"/>
      <c r="D126" s="171"/>
      <c r="E126" s="171"/>
    </row>
    <row r="127" spans="1:9" ht="26.25" hidden="1" customHeight="1" x14ac:dyDescent="0.3">
      <c r="A127" s="120" t="s">
        <v>113</v>
      </c>
      <c r="B127" s="121">
        <v>1000</v>
      </c>
      <c r="C127" s="233" t="s">
        <v>114</v>
      </c>
      <c r="D127" s="234" t="s">
        <v>65</v>
      </c>
      <c r="E127" s="235" t="s">
        <v>115</v>
      </c>
      <c r="F127" s="236" t="s">
        <v>116</v>
      </c>
    </row>
    <row r="128" spans="1:9" ht="26.25" hidden="1" customHeight="1" x14ac:dyDescent="0.3">
      <c r="A128" s="122" t="s">
        <v>94</v>
      </c>
      <c r="B128" s="123">
        <v>5</v>
      </c>
      <c r="C128" s="237">
        <v>1</v>
      </c>
      <c r="D128" s="238">
        <v>0.3206</v>
      </c>
      <c r="E128" s="259">
        <f t="shared" ref="E128:E133" si="3">IF(ISBLANK(D128),"-",D128/$D$104*$D$101*$B$136)</f>
        <v>36.75120684602738</v>
      </c>
      <c r="F128" s="260">
        <f t="shared" ref="F128:F133" si="4">IF(ISBLANK(D128), "-", E128/$B$56)</f>
        <v>0.91878017115068444</v>
      </c>
    </row>
    <row r="129" spans="1:9" ht="26.25" hidden="1" customHeight="1" x14ac:dyDescent="0.3">
      <c r="A129" s="122" t="s">
        <v>96</v>
      </c>
      <c r="B129" s="123">
        <v>20</v>
      </c>
      <c r="C129" s="237">
        <v>2</v>
      </c>
      <c r="D129" s="238">
        <v>0.32850000000000001</v>
      </c>
      <c r="E129" s="261">
        <f t="shared" si="3"/>
        <v>37.656804269868985</v>
      </c>
      <c r="F129" s="262">
        <f t="shared" si="4"/>
        <v>0.94142010674672461</v>
      </c>
    </row>
    <row r="130" spans="1:9" ht="26.25" hidden="1" customHeight="1" x14ac:dyDescent="0.3">
      <c r="A130" s="122" t="s">
        <v>97</v>
      </c>
      <c r="B130" s="123">
        <v>1</v>
      </c>
      <c r="C130" s="237">
        <v>3</v>
      </c>
      <c r="D130" s="238">
        <v>0.32179999999999997</v>
      </c>
      <c r="E130" s="261">
        <f t="shared" si="3"/>
        <v>36.888765948383067</v>
      </c>
      <c r="F130" s="262">
        <f t="shared" si="4"/>
        <v>0.92221914870957666</v>
      </c>
    </row>
    <row r="131" spans="1:9" ht="26.25" hidden="1" customHeight="1" x14ac:dyDescent="0.3">
      <c r="A131" s="122" t="s">
        <v>98</v>
      </c>
      <c r="B131" s="123">
        <v>1</v>
      </c>
      <c r="C131" s="237">
        <v>4</v>
      </c>
      <c r="D131" s="238">
        <v>0.33479999999999999</v>
      </c>
      <c r="E131" s="261">
        <f t="shared" si="3"/>
        <v>38.378989557236338</v>
      </c>
      <c r="F131" s="262">
        <f t="shared" si="4"/>
        <v>0.9594747389309084</v>
      </c>
    </row>
    <row r="132" spans="1:9" ht="26.25" hidden="1" customHeight="1" x14ac:dyDescent="0.3">
      <c r="A132" s="122" t="s">
        <v>99</v>
      </c>
      <c r="B132" s="123">
        <v>1</v>
      </c>
      <c r="C132" s="237">
        <v>5</v>
      </c>
      <c r="D132" s="238">
        <v>0.31950000000000001</v>
      </c>
      <c r="E132" s="261">
        <f t="shared" si="3"/>
        <v>36.625111002201336</v>
      </c>
      <c r="F132" s="262">
        <f t="shared" si="4"/>
        <v>0.91562777505503345</v>
      </c>
    </row>
    <row r="133" spans="1:9" ht="26.25" hidden="1" customHeight="1" x14ac:dyDescent="0.3">
      <c r="A133" s="122" t="s">
        <v>101</v>
      </c>
      <c r="B133" s="123">
        <v>1</v>
      </c>
      <c r="C133" s="243">
        <v>6</v>
      </c>
      <c r="D133" s="244">
        <v>0.33489999999999998</v>
      </c>
      <c r="E133" s="263">
        <f t="shared" si="3"/>
        <v>38.390452815765975</v>
      </c>
      <c r="F133" s="264">
        <f t="shared" si="4"/>
        <v>0.95976132039414941</v>
      </c>
    </row>
    <row r="134" spans="1:9" ht="26.25" hidden="1" customHeight="1" x14ac:dyDescent="0.3">
      <c r="A134" s="122" t="s">
        <v>102</v>
      </c>
      <c r="B134" s="123">
        <v>1</v>
      </c>
      <c r="C134" s="237"/>
      <c r="D134" s="197"/>
      <c r="E134" s="207"/>
      <c r="F134" s="247"/>
    </row>
    <row r="135" spans="1:9" ht="26.25" hidden="1" customHeight="1" x14ac:dyDescent="0.3">
      <c r="A135" s="122" t="s">
        <v>103</v>
      </c>
      <c r="B135" s="123">
        <v>1</v>
      </c>
      <c r="C135" s="237"/>
      <c r="D135" s="248"/>
      <c r="E135" s="249" t="s">
        <v>72</v>
      </c>
      <c r="F135" s="250">
        <f>AVERAGE(F128:F133)</f>
        <v>0.93621387683117951</v>
      </c>
    </row>
    <row r="136" spans="1:9" ht="27" hidden="1" customHeight="1" x14ac:dyDescent="0.3">
      <c r="A136" s="122" t="s">
        <v>104</v>
      </c>
      <c r="B136" s="123">
        <f>(B135/B134)*(B133/B132)*(B131/B130)*(B129/B128)*B127</f>
        <v>4000</v>
      </c>
      <c r="C136" s="252"/>
      <c r="D136" s="207"/>
      <c r="E136" s="265" t="s">
        <v>85</v>
      </c>
      <c r="F136" s="254">
        <f>STDEV(F128:F133)/F135</f>
        <v>2.160812147660188E-2</v>
      </c>
    </row>
    <row r="137" spans="1:9" ht="27" hidden="1" customHeight="1" x14ac:dyDescent="0.3">
      <c r="A137" s="614" t="s">
        <v>79</v>
      </c>
      <c r="B137" s="615"/>
      <c r="C137" s="255"/>
      <c r="D137" s="266"/>
      <c r="E137" s="267" t="s">
        <v>19</v>
      </c>
      <c r="F137" s="258">
        <f>COUNT(F128:F133)</f>
        <v>6</v>
      </c>
      <c r="I137" s="227"/>
    </row>
    <row r="138" spans="1:9" ht="19.5" hidden="1" customHeight="1" x14ac:dyDescent="0.25">
      <c r="A138" s="616"/>
      <c r="B138" s="617"/>
      <c r="C138" s="207"/>
      <c r="D138" s="207"/>
      <c r="E138" s="207"/>
      <c r="F138" s="197"/>
      <c r="G138" s="207"/>
      <c r="H138" s="207"/>
    </row>
    <row r="139" spans="1:9" ht="18.75" hidden="1" x14ac:dyDescent="0.25">
      <c r="A139" s="117"/>
      <c r="B139" s="117"/>
      <c r="C139" s="207"/>
      <c r="D139" s="207"/>
      <c r="E139" s="207"/>
      <c r="F139" s="197"/>
      <c r="G139" s="207"/>
      <c r="H139" s="207"/>
    </row>
    <row r="140" spans="1:9" ht="26.25" hidden="1" customHeight="1" x14ac:dyDescent="0.25">
      <c r="A140" s="105" t="s">
        <v>117</v>
      </c>
      <c r="B140" s="206" t="s">
        <v>118</v>
      </c>
      <c r="C140" s="618" t="str">
        <f>B20</f>
        <v xml:space="preserve">Pantoprazole </v>
      </c>
      <c r="D140" s="618"/>
      <c r="E140" s="207" t="s">
        <v>119</v>
      </c>
      <c r="F140" s="207"/>
      <c r="G140" s="277">
        <f>F135</f>
        <v>0.93621387683117951</v>
      </c>
      <c r="H140" s="207"/>
    </row>
    <row r="141" spans="1:9" ht="19.5" hidden="1" customHeight="1" x14ac:dyDescent="0.25">
      <c r="A141" s="268"/>
      <c r="B141" s="268"/>
      <c r="C141" s="269"/>
      <c r="D141" s="269"/>
      <c r="E141" s="269"/>
      <c r="F141" s="269"/>
      <c r="G141" s="269"/>
      <c r="H141" s="269"/>
    </row>
    <row r="142" spans="1:9" ht="18.75" x14ac:dyDescent="0.3">
      <c r="B142" s="619" t="s">
        <v>25</v>
      </c>
      <c r="C142" s="619"/>
      <c r="E142" s="211" t="s">
        <v>26</v>
      </c>
      <c r="F142" s="270"/>
      <c r="G142" s="619" t="s">
        <v>27</v>
      </c>
      <c r="H142" s="619"/>
    </row>
    <row r="143" spans="1:9" ht="60" customHeight="1" x14ac:dyDescent="0.3">
      <c r="A143" s="271" t="s">
        <v>28</v>
      </c>
      <c r="B143" s="612"/>
      <c r="C143" s="612"/>
      <c r="E143" s="272"/>
      <c r="F143" s="207"/>
      <c r="G143" s="273"/>
      <c r="H143" s="273"/>
    </row>
    <row r="144" spans="1:9" ht="60" customHeight="1" x14ac:dyDescent="0.3">
      <c r="A144" s="271" t="s">
        <v>29</v>
      </c>
      <c r="B144" s="613"/>
      <c r="C144" s="613"/>
      <c r="E144" s="274"/>
      <c r="F144" s="207"/>
      <c r="G144" s="275"/>
      <c r="H144" s="275"/>
    </row>
    <row r="145" spans="1:8" ht="18.75" x14ac:dyDescent="0.25">
      <c r="A145" s="196"/>
      <c r="B145" s="196"/>
      <c r="C145" s="197"/>
      <c r="D145" s="197"/>
      <c r="E145" s="197"/>
      <c r="F145" s="201"/>
      <c r="G145" s="197"/>
      <c r="H145" s="197"/>
    </row>
    <row r="146" spans="1:8" ht="18.75" x14ac:dyDescent="0.25">
      <c r="A146" s="196"/>
      <c r="B146" s="196"/>
      <c r="C146" s="197"/>
      <c r="D146" s="197"/>
      <c r="E146" s="197"/>
      <c r="F146" s="201"/>
      <c r="G146" s="197"/>
      <c r="H146" s="197"/>
    </row>
    <row r="147" spans="1:8" ht="18.75" x14ac:dyDescent="0.25">
      <c r="A147" s="196"/>
      <c r="B147" s="196"/>
      <c r="C147" s="197"/>
      <c r="D147" s="197"/>
      <c r="E147" s="197"/>
      <c r="F147" s="201"/>
      <c r="G147" s="197"/>
      <c r="H147" s="197"/>
    </row>
    <row r="148" spans="1:8" ht="18.75" x14ac:dyDescent="0.25">
      <c r="A148" s="196"/>
      <c r="B148" s="196"/>
      <c r="C148" s="197"/>
      <c r="D148" s="197"/>
      <c r="E148" s="197"/>
      <c r="F148" s="201"/>
      <c r="G148" s="197"/>
      <c r="H148" s="197"/>
    </row>
    <row r="149" spans="1:8" ht="18.75" x14ac:dyDescent="0.25">
      <c r="A149" s="196"/>
      <c r="B149" s="196"/>
      <c r="C149" s="197"/>
      <c r="D149" s="197"/>
      <c r="E149" s="197"/>
      <c r="F149" s="201"/>
      <c r="G149" s="197"/>
      <c r="H149" s="197"/>
    </row>
    <row r="150" spans="1:8" ht="18.75" x14ac:dyDescent="0.25">
      <c r="A150" s="196"/>
      <c r="B150" s="196"/>
      <c r="C150" s="197"/>
      <c r="D150" s="197"/>
      <c r="E150" s="197"/>
      <c r="F150" s="201"/>
      <c r="G150" s="197"/>
      <c r="H150" s="197"/>
    </row>
    <row r="151" spans="1:8" ht="18.75" x14ac:dyDescent="0.25">
      <c r="A151" s="196"/>
      <c r="B151" s="196"/>
      <c r="C151" s="197"/>
      <c r="D151" s="197"/>
      <c r="E151" s="197"/>
      <c r="F151" s="201"/>
      <c r="G151" s="197"/>
      <c r="H151" s="197"/>
    </row>
    <row r="152" spans="1:8" ht="18.75" x14ac:dyDescent="0.25">
      <c r="A152" s="196"/>
      <c r="B152" s="196"/>
      <c r="C152" s="197"/>
      <c r="D152" s="197"/>
      <c r="E152" s="197"/>
      <c r="F152" s="201"/>
      <c r="G152" s="197"/>
      <c r="H152" s="197"/>
    </row>
    <row r="153" spans="1:8" ht="18.75" x14ac:dyDescent="0.25">
      <c r="A153" s="196"/>
      <c r="B153" s="196"/>
      <c r="C153" s="197"/>
      <c r="D153" s="197"/>
      <c r="E153" s="197"/>
      <c r="F153" s="201"/>
      <c r="G153" s="197"/>
      <c r="H153" s="197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H7"/>
    <mergeCell ref="A8:H14"/>
    <mergeCell ref="A46:B47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F90:G90"/>
    <mergeCell ref="C60:C63"/>
    <mergeCell ref="D60:D63"/>
    <mergeCell ref="C64:C67"/>
    <mergeCell ref="D64:D67"/>
    <mergeCell ref="C68:C71"/>
    <mergeCell ref="D68:D71"/>
    <mergeCell ref="A70:B71"/>
    <mergeCell ref="C76:D76"/>
    <mergeCell ref="C83:H83"/>
    <mergeCell ref="C85:H85"/>
    <mergeCell ref="C86:H86"/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</mergeCells>
  <conditionalFormatting sqref="D51">
    <cfRule type="cellIs" dxfId="5" priority="1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5">
    <cfRule type="cellIs" dxfId="3" priority="3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zoomScale="60" zoomScaleNormal="70" workbookViewId="0">
      <selection activeCell="B31" sqref="B31:B32"/>
    </sheetView>
  </sheetViews>
  <sheetFormatPr defaultRowHeight="12.75" x14ac:dyDescent="0.2"/>
  <cols>
    <col min="1" max="1" width="54.85546875" style="439" customWidth="1"/>
    <col min="2" max="2" width="39.42578125" style="439" customWidth="1"/>
    <col min="3" max="3" width="42.5703125" style="439" customWidth="1"/>
    <col min="4" max="4" width="21" style="439" customWidth="1"/>
    <col min="5" max="5" width="28.28515625" style="439" customWidth="1"/>
    <col min="6" max="6" width="23.85546875" style="439" customWidth="1"/>
    <col min="7" max="7" width="26" style="439" customWidth="1"/>
    <col min="8" max="16384" width="9.140625" style="439"/>
  </cols>
  <sheetData>
    <row r="1" spans="1:7" x14ac:dyDescent="0.2">
      <c r="A1" s="648" t="s">
        <v>47</v>
      </c>
      <c r="B1" s="648"/>
      <c r="C1" s="648"/>
      <c r="D1" s="648"/>
      <c r="E1" s="648"/>
      <c r="F1" s="648"/>
      <c r="G1" s="648"/>
    </row>
    <row r="2" spans="1:7" x14ac:dyDescent="0.2">
      <c r="A2" s="648"/>
      <c r="B2" s="648"/>
      <c r="C2" s="648"/>
      <c r="D2" s="648"/>
      <c r="E2" s="648"/>
      <c r="F2" s="648"/>
      <c r="G2" s="648"/>
    </row>
    <row r="3" spans="1:7" x14ac:dyDescent="0.2">
      <c r="A3" s="648"/>
      <c r="B3" s="648"/>
      <c r="C3" s="648"/>
      <c r="D3" s="648"/>
      <c r="E3" s="648"/>
      <c r="F3" s="648"/>
      <c r="G3" s="648"/>
    </row>
    <row r="4" spans="1:7" x14ac:dyDescent="0.2">
      <c r="A4" s="648"/>
      <c r="B4" s="648"/>
      <c r="C4" s="648"/>
      <c r="D4" s="648"/>
      <c r="E4" s="648"/>
      <c r="F4" s="648"/>
      <c r="G4" s="648"/>
    </row>
    <row r="5" spans="1:7" x14ac:dyDescent="0.2">
      <c r="A5" s="648"/>
      <c r="B5" s="648"/>
      <c r="C5" s="648"/>
      <c r="D5" s="648"/>
      <c r="E5" s="648"/>
      <c r="F5" s="648"/>
      <c r="G5" s="648"/>
    </row>
    <row r="6" spans="1:7" x14ac:dyDescent="0.2">
      <c r="A6" s="648"/>
      <c r="B6" s="648"/>
      <c r="C6" s="648"/>
      <c r="D6" s="648"/>
      <c r="E6" s="648"/>
      <c r="F6" s="648"/>
      <c r="G6" s="648"/>
    </row>
    <row r="7" spans="1:7" x14ac:dyDescent="0.2">
      <c r="A7" s="648"/>
      <c r="B7" s="648"/>
      <c r="C7" s="648"/>
      <c r="D7" s="648"/>
      <c r="E7" s="648"/>
      <c r="F7" s="648"/>
      <c r="G7" s="648"/>
    </row>
    <row r="8" spans="1:7" x14ac:dyDescent="0.2">
      <c r="A8" s="649" t="s">
        <v>48</v>
      </c>
      <c r="B8" s="649"/>
      <c r="C8" s="649"/>
      <c r="D8" s="649"/>
      <c r="E8" s="649"/>
      <c r="F8" s="649"/>
      <c r="G8" s="649"/>
    </row>
    <row r="9" spans="1:7" x14ac:dyDescent="0.2">
      <c r="A9" s="649"/>
      <c r="B9" s="649"/>
      <c r="C9" s="649"/>
      <c r="D9" s="649"/>
      <c r="E9" s="649"/>
      <c r="F9" s="649"/>
      <c r="G9" s="649"/>
    </row>
    <row r="10" spans="1:7" x14ac:dyDescent="0.2">
      <c r="A10" s="649"/>
      <c r="B10" s="649"/>
      <c r="C10" s="649"/>
      <c r="D10" s="649"/>
      <c r="E10" s="649"/>
      <c r="F10" s="649"/>
      <c r="G10" s="649"/>
    </row>
    <row r="11" spans="1:7" x14ac:dyDescent="0.2">
      <c r="A11" s="649"/>
      <c r="B11" s="649"/>
      <c r="C11" s="649"/>
      <c r="D11" s="649"/>
      <c r="E11" s="649"/>
      <c r="F11" s="649"/>
      <c r="G11" s="649"/>
    </row>
    <row r="12" spans="1:7" x14ac:dyDescent="0.2">
      <c r="A12" s="649"/>
      <c r="B12" s="649"/>
      <c r="C12" s="649"/>
      <c r="D12" s="649"/>
      <c r="E12" s="649"/>
      <c r="F12" s="649"/>
      <c r="G12" s="649"/>
    </row>
    <row r="13" spans="1:7" x14ac:dyDescent="0.2">
      <c r="A13" s="649"/>
      <c r="B13" s="649"/>
      <c r="C13" s="649"/>
      <c r="D13" s="649"/>
      <c r="E13" s="649"/>
      <c r="F13" s="649"/>
      <c r="G13" s="649"/>
    </row>
    <row r="14" spans="1:7" x14ac:dyDescent="0.2">
      <c r="A14" s="649"/>
      <c r="B14" s="649"/>
      <c r="C14" s="649"/>
      <c r="D14" s="649"/>
      <c r="E14" s="649"/>
      <c r="F14" s="649"/>
      <c r="G14" s="649"/>
    </row>
    <row r="15" spans="1:7" ht="19.5" customHeight="1" thickBot="1" x14ac:dyDescent="0.35">
      <c r="A15" s="440"/>
      <c r="B15" s="440"/>
      <c r="C15" s="440"/>
      <c r="D15" s="440"/>
      <c r="E15" s="440"/>
      <c r="F15" s="440"/>
      <c r="G15" s="440"/>
    </row>
    <row r="16" spans="1:7" ht="19.5" customHeight="1" thickBot="1" x14ac:dyDescent="0.35">
      <c r="A16" s="650" t="s">
        <v>30</v>
      </c>
      <c r="B16" s="651"/>
      <c r="C16" s="651"/>
      <c r="D16" s="651"/>
      <c r="E16" s="651"/>
      <c r="F16" s="651"/>
      <c r="G16" s="651"/>
    </row>
    <row r="17" spans="1:7" ht="18.75" customHeight="1" x14ac:dyDescent="0.3">
      <c r="A17" s="441" t="s">
        <v>49</v>
      </c>
      <c r="B17" s="441"/>
      <c r="C17" s="440"/>
      <c r="D17" s="440"/>
      <c r="E17" s="440"/>
      <c r="F17" s="440"/>
      <c r="G17" s="440"/>
    </row>
    <row r="18" spans="1:7" ht="26.25" customHeight="1" x14ac:dyDescent="0.3">
      <c r="A18" s="442" t="s">
        <v>32</v>
      </c>
      <c r="B18" s="652" t="s">
        <v>33</v>
      </c>
      <c r="C18" s="652"/>
      <c r="D18" s="652"/>
      <c r="E18" s="652"/>
      <c r="F18" s="440"/>
      <c r="G18" s="440"/>
    </row>
    <row r="19" spans="1:7" ht="26.25" customHeight="1" x14ac:dyDescent="0.3">
      <c r="A19" s="442" t="s">
        <v>34</v>
      </c>
      <c r="B19" s="443" t="s">
        <v>7</v>
      </c>
      <c r="C19" s="440">
        <v>36</v>
      </c>
      <c r="E19" s="440"/>
      <c r="F19" s="440"/>
      <c r="G19" s="440"/>
    </row>
    <row r="20" spans="1:7" ht="26.25" customHeight="1" x14ac:dyDescent="0.4">
      <c r="A20" s="442" t="s">
        <v>35</v>
      </c>
      <c r="B20" s="653" t="s">
        <v>126</v>
      </c>
      <c r="C20" s="653"/>
      <c r="D20" s="440"/>
      <c r="E20" s="440"/>
      <c r="F20" s="440"/>
      <c r="G20" s="440"/>
    </row>
    <row r="21" spans="1:7" ht="26.25" customHeight="1" x14ac:dyDescent="0.4">
      <c r="A21" s="442" t="s">
        <v>37</v>
      </c>
      <c r="B21" s="444" t="s">
        <v>127</v>
      </c>
      <c r="C21" s="444"/>
      <c r="D21" s="445"/>
      <c r="E21" s="445"/>
      <c r="F21" s="445"/>
      <c r="G21" s="445"/>
    </row>
    <row r="22" spans="1:7" ht="26.25" customHeight="1" x14ac:dyDescent="0.4">
      <c r="A22" s="442" t="s">
        <v>39</v>
      </c>
      <c r="B22" s="446">
        <v>42545</v>
      </c>
      <c r="C22" s="447"/>
      <c r="D22" s="440"/>
      <c r="E22" s="440"/>
      <c r="F22" s="440"/>
      <c r="G22" s="440"/>
    </row>
    <row r="23" spans="1:7" ht="26.25" customHeight="1" x14ac:dyDescent="0.4">
      <c r="A23" s="442" t="s">
        <v>40</v>
      </c>
      <c r="B23" s="446">
        <v>42546</v>
      </c>
      <c r="C23" s="447"/>
      <c r="D23" s="440"/>
      <c r="E23" s="440"/>
      <c r="F23" s="440"/>
      <c r="G23" s="440"/>
    </row>
    <row r="24" spans="1:7" ht="18.75" customHeight="1" x14ac:dyDescent="0.3">
      <c r="A24" s="442"/>
      <c r="B24" s="448"/>
      <c r="C24" s="440"/>
      <c r="D24" s="440"/>
      <c r="E24" s="440"/>
      <c r="F24" s="440"/>
      <c r="G24" s="440"/>
    </row>
    <row r="25" spans="1:7" ht="18.75" customHeight="1" x14ac:dyDescent="0.3">
      <c r="A25" s="449" t="s">
        <v>1</v>
      </c>
      <c r="B25" s="448"/>
      <c r="C25" s="440"/>
      <c r="D25" s="440"/>
      <c r="E25" s="440"/>
      <c r="F25" s="440"/>
      <c r="G25" s="440"/>
    </row>
    <row r="26" spans="1:7" ht="26.25" customHeight="1" x14ac:dyDescent="0.4">
      <c r="A26" s="450" t="s">
        <v>4</v>
      </c>
      <c r="B26" s="647" t="s">
        <v>128</v>
      </c>
      <c r="C26" s="647"/>
      <c r="D26" s="440"/>
      <c r="E26" s="440"/>
      <c r="F26" s="440"/>
      <c r="G26" s="440"/>
    </row>
    <row r="27" spans="1:7" ht="26.25" customHeight="1" x14ac:dyDescent="0.4">
      <c r="A27" s="451" t="s">
        <v>50</v>
      </c>
      <c r="B27" s="653" t="s">
        <v>122</v>
      </c>
      <c r="C27" s="653"/>
      <c r="D27" s="440"/>
      <c r="E27" s="440"/>
      <c r="F27" s="440"/>
      <c r="G27" s="440"/>
    </row>
    <row r="28" spans="1:7" ht="27" customHeight="1" thickBot="1" x14ac:dyDescent="0.45">
      <c r="A28" s="451" t="s">
        <v>6</v>
      </c>
      <c r="B28" s="452">
        <v>93.3</v>
      </c>
      <c r="C28" s="440"/>
      <c r="D28" s="440"/>
      <c r="E28" s="440"/>
      <c r="F28" s="440"/>
      <c r="G28" s="440"/>
    </row>
    <row r="29" spans="1:7" ht="27" customHeight="1" thickBot="1" x14ac:dyDescent="0.45">
      <c r="A29" s="451" t="s">
        <v>51</v>
      </c>
      <c r="B29" s="453">
        <v>0</v>
      </c>
      <c r="C29" s="654" t="s">
        <v>52</v>
      </c>
      <c r="D29" s="655"/>
      <c r="E29" s="655"/>
      <c r="F29" s="655"/>
      <c r="G29" s="656"/>
    </row>
    <row r="30" spans="1:7" ht="19.5" customHeight="1" thickBot="1" x14ac:dyDescent="0.35">
      <c r="A30" s="451" t="s">
        <v>53</v>
      </c>
      <c r="B30" s="454">
        <f>B28-B29</f>
        <v>93.3</v>
      </c>
      <c r="C30" s="455"/>
      <c r="D30" s="455"/>
      <c r="E30" s="455"/>
      <c r="F30" s="455"/>
      <c r="G30" s="455"/>
    </row>
    <row r="31" spans="1:7" ht="27" customHeight="1" thickBot="1" x14ac:dyDescent="0.35">
      <c r="A31" s="451" t="s">
        <v>54</v>
      </c>
      <c r="B31" s="284">
        <v>405.35</v>
      </c>
      <c r="C31" s="654" t="s">
        <v>55</v>
      </c>
      <c r="D31" s="655"/>
      <c r="E31" s="655"/>
      <c r="F31" s="655"/>
      <c r="G31" s="656"/>
    </row>
    <row r="32" spans="1:7" ht="27" customHeight="1" thickBot="1" x14ac:dyDescent="0.35">
      <c r="A32" s="451" t="s">
        <v>56</v>
      </c>
      <c r="B32" s="284">
        <v>432.4</v>
      </c>
      <c r="C32" s="654" t="s">
        <v>57</v>
      </c>
      <c r="D32" s="655"/>
      <c r="E32" s="655"/>
      <c r="F32" s="655"/>
      <c r="G32" s="656"/>
    </row>
    <row r="33" spans="1:7" ht="18.75" customHeight="1" x14ac:dyDescent="0.3">
      <c r="A33" s="451"/>
      <c r="B33" s="457"/>
      <c r="C33" s="458"/>
      <c r="D33" s="458"/>
      <c r="E33" s="458"/>
      <c r="F33" s="458"/>
      <c r="G33" s="458"/>
    </row>
    <row r="34" spans="1:7" ht="18.75" customHeight="1" x14ac:dyDescent="0.3">
      <c r="A34" s="451" t="s">
        <v>58</v>
      </c>
      <c r="B34" s="459">
        <f>B31/B32</f>
        <v>0.9374421831637374</v>
      </c>
      <c r="C34" s="440" t="s">
        <v>59</v>
      </c>
      <c r="D34" s="440"/>
      <c r="E34" s="440"/>
      <c r="F34" s="440"/>
      <c r="G34" s="440"/>
    </row>
    <row r="35" spans="1:7" ht="19.5" customHeight="1" thickBot="1" x14ac:dyDescent="0.35">
      <c r="A35" s="451"/>
      <c r="B35" s="454"/>
      <c r="C35" s="460"/>
      <c r="D35" s="460"/>
      <c r="E35" s="460"/>
      <c r="F35" s="460"/>
      <c r="G35" s="440"/>
    </row>
    <row r="36" spans="1:7" ht="27" customHeight="1" thickBot="1" x14ac:dyDescent="0.45">
      <c r="A36" s="461" t="s">
        <v>60</v>
      </c>
      <c r="B36" s="462">
        <v>100</v>
      </c>
      <c r="C36" s="440"/>
      <c r="D36" s="657" t="s">
        <v>61</v>
      </c>
      <c r="E36" s="658"/>
      <c r="F36" s="657" t="s">
        <v>62</v>
      </c>
      <c r="G36" s="659"/>
    </row>
    <row r="37" spans="1:7" ht="26.25" customHeight="1" x14ac:dyDescent="0.4">
      <c r="A37" s="463" t="s">
        <v>63</v>
      </c>
      <c r="B37" s="464">
        <v>1</v>
      </c>
      <c r="C37" s="465" t="s">
        <v>64</v>
      </c>
      <c r="D37" s="466" t="s">
        <v>65</v>
      </c>
      <c r="E37" s="467" t="s">
        <v>66</v>
      </c>
      <c r="F37" s="466" t="s">
        <v>65</v>
      </c>
      <c r="G37" s="468" t="s">
        <v>66</v>
      </c>
    </row>
    <row r="38" spans="1:7" ht="26.25" customHeight="1" x14ac:dyDescent="0.4">
      <c r="A38" s="463" t="s">
        <v>67</v>
      </c>
      <c r="B38" s="464">
        <v>1</v>
      </c>
      <c r="C38" s="469">
        <v>1</v>
      </c>
      <c r="D38" s="470">
        <v>142294679</v>
      </c>
      <c r="E38" s="471">
        <f>IF(ISBLANK(D38),"-",$D$48/$D$45*D38)</f>
        <v>162365892.05346954</v>
      </c>
      <c r="F38" s="470">
        <v>168763871</v>
      </c>
      <c r="G38" s="472">
        <f>IF(ISBLANK(F38),"-",$D$48/$F$45*F38)</f>
        <v>164706617.97822338</v>
      </c>
    </row>
    <row r="39" spans="1:7" ht="26.25" customHeight="1" x14ac:dyDescent="0.4">
      <c r="A39" s="463" t="s">
        <v>68</v>
      </c>
      <c r="B39" s="464">
        <v>1</v>
      </c>
      <c r="C39" s="473">
        <v>2</v>
      </c>
      <c r="D39" s="474">
        <v>142220253</v>
      </c>
      <c r="E39" s="475">
        <f>IF(ISBLANK(D39),"-",$D$48/$D$45*D39)</f>
        <v>162280967.97923926</v>
      </c>
      <c r="F39" s="474">
        <v>168924877</v>
      </c>
      <c r="G39" s="476">
        <f>IF(ISBLANK(F39),"-",$D$48/$F$45*F39)</f>
        <v>164863753.23221505</v>
      </c>
    </row>
    <row r="40" spans="1:7" ht="26.25" customHeight="1" x14ac:dyDescent="0.4">
      <c r="A40" s="463" t="s">
        <v>69</v>
      </c>
      <c r="B40" s="464">
        <v>1</v>
      </c>
      <c r="C40" s="473">
        <v>3</v>
      </c>
      <c r="D40" s="474">
        <v>142293490</v>
      </c>
      <c r="E40" s="475">
        <f>IF(ISBLANK(D40),"-",$D$48/$D$45*D40)</f>
        <v>162364535.34043565</v>
      </c>
      <c r="F40" s="474">
        <v>168620842</v>
      </c>
      <c r="G40" s="476">
        <f>IF(ISBLANK(F40),"-",$D$48/$F$45*F40)</f>
        <v>164567027.53908959</v>
      </c>
    </row>
    <row r="41" spans="1:7" ht="26.25" customHeight="1" x14ac:dyDescent="0.4">
      <c r="A41" s="463" t="s">
        <v>70</v>
      </c>
      <c r="B41" s="464">
        <v>1</v>
      </c>
      <c r="C41" s="477">
        <v>4</v>
      </c>
      <c r="D41" s="478"/>
      <c r="E41" s="479" t="str">
        <f>IF(ISBLANK(D41),"-",$D$48/$D$45*D41)</f>
        <v>-</v>
      </c>
      <c r="F41" s="478"/>
      <c r="G41" s="480" t="str">
        <f>IF(ISBLANK(F41),"-",$D$48/$F$45*F41)</f>
        <v>-</v>
      </c>
    </row>
    <row r="42" spans="1:7" ht="27" customHeight="1" thickBot="1" x14ac:dyDescent="0.45">
      <c r="A42" s="463" t="s">
        <v>71</v>
      </c>
      <c r="B42" s="464">
        <v>1</v>
      </c>
      <c r="C42" s="481" t="s">
        <v>72</v>
      </c>
      <c r="D42" s="482">
        <f>AVERAGE(D38:D41)</f>
        <v>142269474</v>
      </c>
      <c r="E42" s="483">
        <f>AVERAGE(E38:E41)</f>
        <v>162337131.79104814</v>
      </c>
      <c r="F42" s="482">
        <f>AVERAGE(F38:F41)</f>
        <v>168769863.33333334</v>
      </c>
      <c r="G42" s="484">
        <f>AVERAGE(G38:G41)</f>
        <v>164712466.24984267</v>
      </c>
    </row>
    <row r="43" spans="1:7" ht="26.25" customHeight="1" x14ac:dyDescent="0.4">
      <c r="A43" s="463" t="s">
        <v>73</v>
      </c>
      <c r="B43" s="464">
        <v>1</v>
      </c>
      <c r="C43" s="485" t="s">
        <v>74</v>
      </c>
      <c r="D43" s="486">
        <v>20.04</v>
      </c>
      <c r="E43" s="440"/>
      <c r="F43" s="486">
        <v>23.43</v>
      </c>
      <c r="G43" s="440"/>
    </row>
    <row r="44" spans="1:7" ht="26.25" customHeight="1" x14ac:dyDescent="0.4">
      <c r="A44" s="463" t="s">
        <v>75</v>
      </c>
      <c r="B44" s="464">
        <v>1</v>
      </c>
      <c r="C44" s="487" t="s">
        <v>76</v>
      </c>
      <c r="D44" s="488">
        <f>D43*$B$34</f>
        <v>18.786341350601298</v>
      </c>
      <c r="E44" s="489"/>
      <c r="F44" s="488">
        <f>F43*$B$34</f>
        <v>21.964270351526366</v>
      </c>
      <c r="G44" s="440"/>
    </row>
    <row r="45" spans="1:7" ht="19.5" customHeight="1" thickBot="1" x14ac:dyDescent="0.35">
      <c r="A45" s="463" t="s">
        <v>77</v>
      </c>
      <c r="B45" s="490">
        <f>(B44/B43)*(B42/B41)*(B40/B39)*(B38/B37)*B36</f>
        <v>100</v>
      </c>
      <c r="C45" s="487" t="s">
        <v>78</v>
      </c>
      <c r="D45" s="491">
        <f>D44*$B$30/100</f>
        <v>17.527656480111009</v>
      </c>
      <c r="E45" s="492"/>
      <c r="F45" s="491">
        <f>F44*$B$30/100</f>
        <v>20.4926642379741</v>
      </c>
      <c r="G45" s="440"/>
    </row>
    <row r="46" spans="1:7" ht="19.5" customHeight="1" thickBot="1" x14ac:dyDescent="0.35">
      <c r="A46" s="660" t="s">
        <v>79</v>
      </c>
      <c r="B46" s="661"/>
      <c r="C46" s="487" t="s">
        <v>80</v>
      </c>
      <c r="D46" s="488">
        <f>D45/$B$45</f>
        <v>0.17527656480111009</v>
      </c>
      <c r="E46" s="492"/>
      <c r="F46" s="493">
        <f>F45/$B$45</f>
        <v>0.20492664237974101</v>
      </c>
      <c r="G46" s="440"/>
    </row>
    <row r="47" spans="1:7" ht="27" customHeight="1" thickBot="1" x14ac:dyDescent="0.45">
      <c r="A47" s="662"/>
      <c r="B47" s="663"/>
      <c r="C47" s="494" t="s">
        <v>81</v>
      </c>
      <c r="D47" s="495">
        <v>0.2</v>
      </c>
      <c r="E47" s="440"/>
      <c r="F47" s="496"/>
      <c r="G47" s="440"/>
    </row>
    <row r="48" spans="1:7" ht="18.75" customHeight="1" x14ac:dyDescent="0.3">
      <c r="A48" s="440"/>
      <c r="B48" s="440"/>
      <c r="C48" s="497" t="s">
        <v>82</v>
      </c>
      <c r="D48" s="491">
        <f>D47*$B$45</f>
        <v>20</v>
      </c>
      <c r="E48" s="440"/>
      <c r="F48" s="496"/>
      <c r="G48" s="440"/>
    </row>
    <row r="49" spans="1:7" ht="19.5" customHeight="1" thickBot="1" x14ac:dyDescent="0.35">
      <c r="A49" s="440"/>
      <c r="B49" s="440"/>
      <c r="C49" s="451" t="s">
        <v>83</v>
      </c>
      <c r="D49" s="498">
        <f>D48/B34</f>
        <v>21.334649068706053</v>
      </c>
      <c r="E49" s="440"/>
      <c r="F49" s="496"/>
      <c r="G49" s="440"/>
    </row>
    <row r="50" spans="1:7" ht="18.75" customHeight="1" x14ac:dyDescent="0.3">
      <c r="A50" s="440"/>
      <c r="B50" s="440"/>
      <c r="C50" s="461" t="s">
        <v>84</v>
      </c>
      <c r="D50" s="499">
        <f>AVERAGE(E38:E41,G38:G41)</f>
        <v>163524799.02044538</v>
      </c>
      <c r="E50" s="440"/>
      <c r="F50" s="500"/>
      <c r="G50" s="440"/>
    </row>
    <row r="51" spans="1:7" ht="18.75" customHeight="1" x14ac:dyDescent="0.3">
      <c r="A51" s="440"/>
      <c r="B51" s="440"/>
      <c r="C51" s="463" t="s">
        <v>85</v>
      </c>
      <c r="D51" s="501">
        <f>STDEV(E38:E41,G38:G41)/D50</f>
        <v>7.979036189891783E-3</v>
      </c>
      <c r="E51" s="440"/>
      <c r="F51" s="500"/>
      <c r="G51" s="440"/>
    </row>
    <row r="52" spans="1:7" ht="19.5" customHeight="1" thickBot="1" x14ac:dyDescent="0.35">
      <c r="A52" s="440"/>
      <c r="B52" s="440"/>
      <c r="C52" s="502" t="s">
        <v>19</v>
      </c>
      <c r="D52" s="503">
        <f>COUNT(E38:E41,G38:G41)</f>
        <v>6</v>
      </c>
      <c r="E52" s="440"/>
      <c r="F52" s="500"/>
      <c r="G52" s="440"/>
    </row>
    <row r="53" spans="1:7" ht="18.75" customHeight="1" x14ac:dyDescent="0.3">
      <c r="A53" s="440"/>
      <c r="B53" s="440"/>
      <c r="C53" s="440"/>
      <c r="D53" s="440"/>
      <c r="E53" s="440"/>
      <c r="F53" s="440"/>
      <c r="G53" s="440"/>
    </row>
    <row r="54" spans="1:7" ht="18.75" customHeight="1" x14ac:dyDescent="0.3">
      <c r="A54" s="441" t="s">
        <v>1</v>
      </c>
      <c r="B54" s="504" t="s">
        <v>86</v>
      </c>
      <c r="C54" s="440"/>
      <c r="D54" s="440"/>
      <c r="E54" s="440"/>
      <c r="F54" s="440"/>
      <c r="G54" s="440"/>
    </row>
    <row r="55" spans="1:7" ht="18.75" customHeight="1" x14ac:dyDescent="0.3">
      <c r="A55" s="440" t="s">
        <v>87</v>
      </c>
      <c r="B55" s="505" t="str">
        <f>B21</f>
        <v>Each Tablet contains Pantoprazole sodium 40 mg</v>
      </c>
      <c r="C55" s="440"/>
      <c r="D55" s="440"/>
      <c r="E55" s="440"/>
      <c r="F55" s="440"/>
      <c r="G55" s="440"/>
    </row>
    <row r="56" spans="1:7" ht="26.25" customHeight="1" x14ac:dyDescent="0.4">
      <c r="A56" s="505" t="s">
        <v>88</v>
      </c>
      <c r="B56" s="452">
        <v>40</v>
      </c>
      <c r="C56" s="440" t="str">
        <f>B20</f>
        <v>Pantoprazole</v>
      </c>
      <c r="D56" s="440"/>
      <c r="E56" s="440"/>
      <c r="F56" s="440"/>
      <c r="G56" s="440"/>
    </row>
    <row r="57" spans="1:7" ht="17.25" customHeight="1" thickBot="1" x14ac:dyDescent="0.35">
      <c r="A57" s="506" t="s">
        <v>89</v>
      </c>
      <c r="B57" s="506">
        <f>[1]Uniformity!C46</f>
        <v>224.93250000000003</v>
      </c>
      <c r="C57" s="506"/>
      <c r="D57" s="507"/>
      <c r="E57" s="507"/>
      <c r="F57" s="507"/>
      <c r="G57" s="507"/>
    </row>
    <row r="58" spans="1:7" ht="57.75" customHeight="1" x14ac:dyDescent="0.4">
      <c r="A58" s="461" t="s">
        <v>90</v>
      </c>
      <c r="B58" s="462">
        <v>100</v>
      </c>
      <c r="C58" s="508" t="s">
        <v>129</v>
      </c>
      <c r="D58" s="509" t="s">
        <v>130</v>
      </c>
      <c r="E58" s="510" t="s">
        <v>131</v>
      </c>
      <c r="F58" s="511" t="s">
        <v>132</v>
      </c>
      <c r="G58" s="512" t="s">
        <v>133</v>
      </c>
    </row>
    <row r="59" spans="1:7" ht="26.25" customHeight="1" x14ac:dyDescent="0.4">
      <c r="A59" s="463" t="s">
        <v>63</v>
      </c>
      <c r="B59" s="464">
        <v>10</v>
      </c>
      <c r="C59" s="513">
        <v>1</v>
      </c>
      <c r="D59" s="514">
        <v>153007407</v>
      </c>
      <c r="E59" s="515">
        <f t="shared" ref="E59:E68" si="0">IF(ISBLANK(D59),"-",D59/$D$50*$D$47*$B$67)</f>
        <v>37.427327944520414</v>
      </c>
      <c r="F59" s="516">
        <f t="shared" ref="F59:F68" si="1">IF(ISBLANK(D59),"-",E59/$E$70*100)</f>
        <v>99.050186608735871</v>
      </c>
      <c r="G59" s="517">
        <f t="shared" ref="G59:G68" si="2">IF(ISBLANK(D59),"-",E59/$B$56*100)</f>
        <v>93.568319861301035</v>
      </c>
    </row>
    <row r="60" spans="1:7" ht="26.25" customHeight="1" x14ac:dyDescent="0.4">
      <c r="A60" s="463" t="s">
        <v>67</v>
      </c>
      <c r="B60" s="464">
        <v>20</v>
      </c>
      <c r="C60" s="518">
        <v>2</v>
      </c>
      <c r="D60" s="519">
        <v>156014395</v>
      </c>
      <c r="E60" s="520">
        <f t="shared" si="0"/>
        <v>38.162870936901413</v>
      </c>
      <c r="F60" s="521">
        <f t="shared" si="1"/>
        <v>100.99677683184991</v>
      </c>
      <c r="G60" s="522">
        <f t="shared" si="2"/>
        <v>95.407177342253533</v>
      </c>
    </row>
    <row r="61" spans="1:7" ht="26.25" customHeight="1" x14ac:dyDescent="0.4">
      <c r="A61" s="463" t="s">
        <v>68</v>
      </c>
      <c r="B61" s="464">
        <v>1</v>
      </c>
      <c r="C61" s="518">
        <v>3</v>
      </c>
      <c r="D61" s="519">
        <v>156415224</v>
      </c>
      <c r="E61" s="520">
        <f t="shared" si="0"/>
        <v>38.260918206159921</v>
      </c>
      <c r="F61" s="521">
        <f t="shared" si="1"/>
        <v>101.25625568994332</v>
      </c>
      <c r="G61" s="522">
        <f t="shared" si="2"/>
        <v>95.6522955153998</v>
      </c>
    </row>
    <row r="62" spans="1:7" ht="26.25" customHeight="1" x14ac:dyDescent="0.4">
      <c r="A62" s="463" t="s">
        <v>69</v>
      </c>
      <c r="B62" s="464">
        <v>1</v>
      </c>
      <c r="C62" s="518">
        <v>4</v>
      </c>
      <c r="D62" s="519">
        <v>156397835</v>
      </c>
      <c r="E62" s="520">
        <f t="shared" si="0"/>
        <v>38.256664661717934</v>
      </c>
      <c r="F62" s="521">
        <f t="shared" si="1"/>
        <v>101.24499882513716</v>
      </c>
      <c r="G62" s="522">
        <f t="shared" si="2"/>
        <v>95.641661654294836</v>
      </c>
    </row>
    <row r="63" spans="1:7" ht="26.25" customHeight="1" x14ac:dyDescent="0.4">
      <c r="A63" s="463" t="s">
        <v>70</v>
      </c>
      <c r="B63" s="464">
        <v>1</v>
      </c>
      <c r="C63" s="518">
        <v>5</v>
      </c>
      <c r="D63" s="519">
        <v>154201460</v>
      </c>
      <c r="E63" s="520">
        <f t="shared" si="0"/>
        <v>37.719406701296805</v>
      </c>
      <c r="F63" s="521">
        <f t="shared" si="1"/>
        <v>99.823163386721021</v>
      </c>
      <c r="G63" s="522">
        <f t="shared" si="2"/>
        <v>94.298516753242012</v>
      </c>
    </row>
    <row r="64" spans="1:7" ht="26.25" customHeight="1" x14ac:dyDescent="0.4">
      <c r="A64" s="463" t="s">
        <v>71</v>
      </c>
      <c r="B64" s="464">
        <v>1</v>
      </c>
      <c r="C64" s="518">
        <v>6</v>
      </c>
      <c r="D64" s="519">
        <v>154788373</v>
      </c>
      <c r="E64" s="520">
        <f t="shared" si="0"/>
        <v>37.86297220414793</v>
      </c>
      <c r="F64" s="521">
        <f t="shared" si="1"/>
        <v>100.20310474585466</v>
      </c>
      <c r="G64" s="522">
        <f t="shared" si="2"/>
        <v>94.657430510369821</v>
      </c>
    </row>
    <row r="65" spans="1:7" ht="26.25" customHeight="1" x14ac:dyDescent="0.4">
      <c r="A65" s="463" t="s">
        <v>73</v>
      </c>
      <c r="B65" s="464">
        <v>1</v>
      </c>
      <c r="C65" s="518">
        <v>7</v>
      </c>
      <c r="D65" s="519">
        <v>151440389</v>
      </c>
      <c r="E65" s="520">
        <f t="shared" si="0"/>
        <v>37.044017765419305</v>
      </c>
      <c r="F65" s="521">
        <f t="shared" si="1"/>
        <v>98.035768886336015</v>
      </c>
      <c r="G65" s="522">
        <f t="shared" si="2"/>
        <v>92.610044413548266</v>
      </c>
    </row>
    <row r="66" spans="1:7" ht="26.25" customHeight="1" x14ac:dyDescent="0.4">
      <c r="A66" s="463" t="s">
        <v>75</v>
      </c>
      <c r="B66" s="464">
        <v>1</v>
      </c>
      <c r="C66" s="518">
        <v>8</v>
      </c>
      <c r="D66" s="519">
        <v>155392232</v>
      </c>
      <c r="E66" s="520">
        <f t="shared" si="0"/>
        <v>38.010682888672179</v>
      </c>
      <c r="F66" s="521">
        <f t="shared" si="1"/>
        <v>100.59401619130752</v>
      </c>
      <c r="G66" s="522">
        <f t="shared" si="2"/>
        <v>95.026707221680454</v>
      </c>
    </row>
    <row r="67" spans="1:7" ht="27" customHeight="1" thickBot="1" x14ac:dyDescent="0.45">
      <c r="A67" s="463" t="s">
        <v>77</v>
      </c>
      <c r="B67" s="490">
        <f>(B66/B65)*(B64/B63)*(B62/B61)*(B60/B59)*B58</f>
        <v>200</v>
      </c>
      <c r="C67" s="518">
        <v>9</v>
      </c>
      <c r="D67" s="519">
        <v>152690125</v>
      </c>
      <c r="E67" s="520">
        <f t="shared" si="0"/>
        <v>37.349717208558509</v>
      </c>
      <c r="F67" s="521">
        <f t="shared" si="1"/>
        <v>98.844792360680998</v>
      </c>
      <c r="G67" s="522">
        <f t="shared" si="2"/>
        <v>93.374293021396269</v>
      </c>
    </row>
    <row r="68" spans="1:7" ht="27" customHeight="1" thickBot="1" x14ac:dyDescent="0.45">
      <c r="A68" s="660" t="s">
        <v>79</v>
      </c>
      <c r="B68" s="664"/>
      <c r="C68" s="523">
        <v>10</v>
      </c>
      <c r="D68" s="524">
        <v>154398837</v>
      </c>
      <c r="E68" s="525">
        <f t="shared" si="0"/>
        <v>37.767687329356242</v>
      </c>
      <c r="F68" s="526">
        <f t="shared" si="1"/>
        <v>99.950936473433572</v>
      </c>
      <c r="G68" s="527">
        <f t="shared" si="2"/>
        <v>94.419218323390609</v>
      </c>
    </row>
    <row r="69" spans="1:7" ht="19.5" customHeight="1" thickBot="1" x14ac:dyDescent="0.35">
      <c r="A69" s="662"/>
      <c r="B69" s="665"/>
      <c r="C69" s="518"/>
      <c r="D69" s="492"/>
      <c r="E69" s="440"/>
      <c r="F69" s="507"/>
      <c r="G69" s="528"/>
    </row>
    <row r="70" spans="1:7" ht="26.25" customHeight="1" x14ac:dyDescent="0.4">
      <c r="A70" s="507"/>
      <c r="B70" s="507"/>
      <c r="C70" s="518" t="s">
        <v>134</v>
      </c>
      <c r="D70" s="529"/>
      <c r="E70" s="530">
        <f>AVERAGE(E59:E68)</f>
        <v>37.786226584675063</v>
      </c>
      <c r="F70" s="530">
        <f>AVERAGE(F59:F68)</f>
        <v>100</v>
      </c>
      <c r="G70" s="531">
        <f>AVERAGE(G59:G68)</f>
        <v>94.465566461687672</v>
      </c>
    </row>
    <row r="71" spans="1:7" ht="26.25" customHeight="1" x14ac:dyDescent="0.4">
      <c r="A71" s="507"/>
      <c r="B71" s="507"/>
      <c r="C71" s="518"/>
      <c r="D71" s="529"/>
      <c r="E71" s="532">
        <f>STDEV(E59:E68)/E70</f>
        <v>1.0875254128540934E-2</v>
      </c>
      <c r="F71" s="532">
        <f>STDEV(F59:F68)/F70</f>
        <v>1.0875254128540941E-2</v>
      </c>
      <c r="G71" s="533">
        <f>STDEV(G59:G68)/G70</f>
        <v>1.0875254128540929E-2</v>
      </c>
    </row>
    <row r="72" spans="1:7" ht="27" customHeight="1" thickBot="1" x14ac:dyDescent="0.45">
      <c r="A72" s="507"/>
      <c r="B72" s="507"/>
      <c r="C72" s="523"/>
      <c r="D72" s="534"/>
      <c r="E72" s="535">
        <f>COUNT(E59:E68)</f>
        <v>10</v>
      </c>
      <c r="F72" s="535">
        <f>COUNT(F59:F68)</f>
        <v>10</v>
      </c>
      <c r="G72" s="536">
        <f>COUNT(G59:G68)</f>
        <v>10</v>
      </c>
    </row>
    <row r="73" spans="1:7" ht="18.75" customHeight="1" x14ac:dyDescent="0.3">
      <c r="A73" s="507"/>
      <c r="B73" s="440"/>
      <c r="C73" s="440"/>
      <c r="D73" s="489"/>
      <c r="E73" s="529"/>
      <c r="F73" s="440"/>
      <c r="G73" s="537"/>
    </row>
    <row r="74" spans="1:7" ht="18.75" customHeight="1" x14ac:dyDescent="0.3">
      <c r="A74" s="450" t="s">
        <v>107</v>
      </c>
      <c r="B74" s="451" t="s">
        <v>108</v>
      </c>
      <c r="C74" s="666" t="str">
        <f>B20</f>
        <v>Pantoprazole</v>
      </c>
      <c r="D74" s="666"/>
      <c r="E74" s="440" t="s">
        <v>109</v>
      </c>
      <c r="F74" s="440"/>
      <c r="G74" s="538">
        <f>G70</f>
        <v>94.465566461687672</v>
      </c>
    </row>
    <row r="75" spans="1:7" ht="18.75" customHeight="1" x14ac:dyDescent="0.3">
      <c r="A75" s="450"/>
      <c r="B75" s="451"/>
      <c r="C75" s="454"/>
      <c r="D75" s="454"/>
      <c r="E75" s="440"/>
      <c r="F75" s="440"/>
      <c r="G75" s="539"/>
    </row>
    <row r="76" spans="1:7" ht="18.75" customHeight="1" x14ac:dyDescent="0.3">
      <c r="A76" s="441" t="s">
        <v>1</v>
      </c>
      <c r="B76" s="449" t="s">
        <v>135</v>
      </c>
      <c r="C76" s="440"/>
      <c r="D76" s="440"/>
      <c r="E76" s="440"/>
      <c r="F76" s="440"/>
      <c r="G76" s="507"/>
    </row>
    <row r="77" spans="1:7" ht="18.75" customHeight="1" x14ac:dyDescent="0.3">
      <c r="A77" s="441"/>
      <c r="B77" s="504"/>
      <c r="C77" s="440"/>
      <c r="D77" s="440"/>
      <c r="E77" s="440"/>
      <c r="F77" s="440"/>
      <c r="G77" s="507"/>
    </row>
    <row r="78" spans="1:7" ht="18.75" customHeight="1" x14ac:dyDescent="0.3">
      <c r="A78" s="507"/>
      <c r="B78" s="667" t="s">
        <v>136</v>
      </c>
      <c r="C78" s="668"/>
      <c r="D78" s="440"/>
      <c r="E78" s="507"/>
      <c r="F78" s="507"/>
      <c r="G78" s="507"/>
    </row>
    <row r="79" spans="1:7" ht="18.75" customHeight="1" x14ac:dyDescent="0.3">
      <c r="A79" s="507"/>
      <c r="B79" s="540" t="s">
        <v>45</v>
      </c>
      <c r="C79" s="541">
        <f>G70</f>
        <v>94.465566461687672</v>
      </c>
      <c r="D79" s="440"/>
      <c r="E79" s="507"/>
      <c r="F79" s="507"/>
      <c r="G79" s="507"/>
    </row>
    <row r="80" spans="1:7" ht="26.25" customHeight="1" x14ac:dyDescent="0.4">
      <c r="A80" s="507"/>
      <c r="B80" s="540" t="s">
        <v>137</v>
      </c>
      <c r="C80" s="542">
        <v>2.4</v>
      </c>
      <c r="D80" s="440"/>
      <c r="E80" s="507"/>
      <c r="F80" s="507"/>
      <c r="G80" s="507"/>
    </row>
    <row r="81" spans="1:7" ht="18.75" customHeight="1" x14ac:dyDescent="0.3">
      <c r="A81" s="507"/>
      <c r="B81" s="540" t="s">
        <v>138</v>
      </c>
      <c r="C81" s="541">
        <f>STDEV(G59:G68)</f>
        <v>1.0273370416674263</v>
      </c>
      <c r="D81" s="440"/>
      <c r="E81" s="507"/>
      <c r="F81" s="507"/>
      <c r="G81" s="507"/>
    </row>
    <row r="82" spans="1:7" ht="18.75" customHeight="1" x14ac:dyDescent="0.3">
      <c r="A82" s="507"/>
      <c r="B82" s="540" t="s">
        <v>139</v>
      </c>
      <c r="C82" s="541">
        <f>IF(OR(G70&lt;98.5,G70&gt;101.5),(IF(98.5&gt;G70,98.5,101.5)),C79)</f>
        <v>98.5</v>
      </c>
      <c r="D82" s="440"/>
      <c r="E82" s="507"/>
      <c r="F82" s="507"/>
      <c r="G82" s="507"/>
    </row>
    <row r="83" spans="1:7" ht="18.75" customHeight="1" x14ac:dyDescent="0.3">
      <c r="A83" s="507"/>
      <c r="B83" s="540" t="s">
        <v>140</v>
      </c>
      <c r="C83" s="543">
        <f>ABS(C82-C79)+(C80*C81)</f>
        <v>6.5000424383141517</v>
      </c>
      <c r="D83" s="440"/>
      <c r="E83" s="507"/>
      <c r="F83" s="507"/>
      <c r="G83" s="507"/>
    </row>
    <row r="84" spans="1:7" ht="13.5" customHeight="1" thickBot="1" x14ac:dyDescent="0.35">
      <c r="A84" s="505"/>
      <c r="B84" s="544"/>
      <c r="C84" s="440"/>
      <c r="D84" s="440"/>
      <c r="E84" s="440"/>
      <c r="F84" s="440"/>
      <c r="G84" s="440"/>
    </row>
    <row r="85" spans="1:7" ht="18.75" hidden="1" customHeight="1" thickBot="1" x14ac:dyDescent="0.35">
      <c r="A85" s="449" t="s">
        <v>141</v>
      </c>
      <c r="B85" s="449" t="s">
        <v>110</v>
      </c>
      <c r="C85" s="440"/>
      <c r="D85" s="440"/>
      <c r="E85" s="440"/>
      <c r="F85" s="440"/>
      <c r="G85" s="440"/>
    </row>
    <row r="86" spans="1:7" ht="18.75" hidden="1" customHeight="1" thickBot="1" x14ac:dyDescent="0.35">
      <c r="A86" s="449"/>
      <c r="B86" s="449"/>
      <c r="C86" s="440"/>
      <c r="D86" s="440"/>
      <c r="E86" s="440"/>
      <c r="F86" s="440"/>
      <c r="G86" s="440"/>
    </row>
    <row r="87" spans="1:7" ht="26.25" hidden="1" customHeight="1" thickBot="1" x14ac:dyDescent="0.45">
      <c r="A87" s="450" t="s">
        <v>4</v>
      </c>
      <c r="B87" s="647" t="s">
        <v>128</v>
      </c>
      <c r="C87" s="647"/>
      <c r="D87" s="440"/>
      <c r="E87" s="440"/>
      <c r="F87" s="440"/>
      <c r="G87" s="440"/>
    </row>
    <row r="88" spans="1:7" ht="26.25" hidden="1" customHeight="1" thickBot="1" x14ac:dyDescent="0.45">
      <c r="A88" s="451" t="s">
        <v>50</v>
      </c>
      <c r="B88" s="653" t="s">
        <v>122</v>
      </c>
      <c r="C88" s="653"/>
      <c r="D88" s="440"/>
      <c r="E88" s="440"/>
      <c r="F88" s="440"/>
      <c r="G88" s="440"/>
    </row>
    <row r="89" spans="1:7" ht="27" hidden="1" customHeight="1" thickBot="1" x14ac:dyDescent="0.45">
      <c r="A89" s="451" t="s">
        <v>6</v>
      </c>
      <c r="B89" s="452">
        <v>93.3</v>
      </c>
      <c r="C89" s="440"/>
      <c r="D89" s="440"/>
      <c r="E89" s="440"/>
      <c r="F89" s="440"/>
      <c r="G89" s="440"/>
    </row>
    <row r="90" spans="1:7" ht="27" hidden="1" customHeight="1" thickBot="1" x14ac:dyDescent="0.45">
      <c r="A90" s="451" t="s">
        <v>51</v>
      </c>
      <c r="B90" s="452">
        <f>B33</f>
        <v>0</v>
      </c>
      <c r="C90" s="670" t="s">
        <v>142</v>
      </c>
      <c r="D90" s="671"/>
      <c r="E90" s="671"/>
      <c r="F90" s="671"/>
      <c r="G90" s="672"/>
    </row>
    <row r="91" spans="1:7" ht="18.75" hidden="1" customHeight="1" thickBot="1" x14ac:dyDescent="0.35">
      <c r="A91" s="451" t="s">
        <v>53</v>
      </c>
      <c r="B91" s="454">
        <f>B89-B90</f>
        <v>93.3</v>
      </c>
      <c r="C91" s="455"/>
      <c r="D91" s="455"/>
      <c r="E91" s="455"/>
      <c r="F91" s="455"/>
      <c r="G91" s="545"/>
    </row>
    <row r="92" spans="1:7" ht="19.5" hidden="1" customHeight="1" thickBot="1" x14ac:dyDescent="0.35">
      <c r="A92" s="451"/>
      <c r="B92" s="454"/>
      <c r="C92" s="455"/>
      <c r="D92" s="455"/>
      <c r="E92" s="455"/>
      <c r="F92" s="455"/>
      <c r="G92" s="545"/>
    </row>
    <row r="93" spans="1:7" ht="27" hidden="1" customHeight="1" thickBot="1" x14ac:dyDescent="0.45">
      <c r="A93" s="451" t="s">
        <v>54</v>
      </c>
      <c r="B93" s="456">
        <v>383.37</v>
      </c>
      <c r="C93" s="654" t="s">
        <v>143</v>
      </c>
      <c r="D93" s="655"/>
      <c r="E93" s="655"/>
      <c r="F93" s="655"/>
      <c r="G93" s="655"/>
    </row>
    <row r="94" spans="1:7" ht="27" hidden="1" customHeight="1" thickBot="1" x14ac:dyDescent="0.45">
      <c r="A94" s="451" t="s">
        <v>56</v>
      </c>
      <c r="B94" s="456">
        <v>405.35</v>
      </c>
      <c r="C94" s="654" t="s">
        <v>144</v>
      </c>
      <c r="D94" s="655"/>
      <c r="E94" s="655"/>
      <c r="F94" s="655"/>
      <c r="G94" s="655"/>
    </row>
    <row r="95" spans="1:7" ht="18.75" hidden="1" customHeight="1" thickBot="1" x14ac:dyDescent="0.35">
      <c r="A95" s="451"/>
      <c r="B95" s="457"/>
      <c r="C95" s="458"/>
      <c r="D95" s="458"/>
      <c r="E95" s="458"/>
      <c r="F95" s="458"/>
      <c r="G95" s="458"/>
    </row>
    <row r="96" spans="1:7" ht="18.75" hidden="1" customHeight="1" thickBot="1" x14ac:dyDescent="0.35">
      <c r="A96" s="451" t="s">
        <v>58</v>
      </c>
      <c r="B96" s="459">
        <f>B93/B94</f>
        <v>0.94577525595164669</v>
      </c>
      <c r="C96" s="440" t="s">
        <v>59</v>
      </c>
      <c r="D96" s="440"/>
      <c r="E96" s="440"/>
      <c r="F96" s="440"/>
      <c r="G96" s="440"/>
    </row>
    <row r="97" spans="1:7" ht="19.5" hidden="1" customHeight="1" thickBot="1" x14ac:dyDescent="0.35">
      <c r="A97" s="449"/>
      <c r="B97" s="449"/>
      <c r="C97" s="440"/>
      <c r="D97" s="440"/>
      <c r="E97" s="440"/>
      <c r="F97" s="440"/>
      <c r="G97" s="440"/>
    </row>
    <row r="98" spans="1:7" ht="27" hidden="1" customHeight="1" thickBot="1" x14ac:dyDescent="0.45">
      <c r="A98" s="461" t="s">
        <v>60</v>
      </c>
      <c r="B98" s="546">
        <v>50</v>
      </c>
      <c r="C98" s="440"/>
      <c r="D98" s="547" t="s">
        <v>61</v>
      </c>
      <c r="E98" s="548"/>
      <c r="F98" s="657" t="s">
        <v>62</v>
      </c>
      <c r="G98" s="659"/>
    </row>
    <row r="99" spans="1:7" ht="26.25" hidden="1" customHeight="1" thickBot="1" x14ac:dyDescent="0.45">
      <c r="A99" s="463" t="s">
        <v>63</v>
      </c>
      <c r="B99" s="549">
        <v>3</v>
      </c>
      <c r="C99" s="465" t="s">
        <v>64</v>
      </c>
      <c r="D99" s="466" t="s">
        <v>65</v>
      </c>
      <c r="E99" s="467" t="s">
        <v>66</v>
      </c>
      <c r="F99" s="466" t="s">
        <v>65</v>
      </c>
      <c r="G99" s="468" t="s">
        <v>66</v>
      </c>
    </row>
    <row r="100" spans="1:7" ht="26.25" hidden="1" customHeight="1" thickBot="1" x14ac:dyDescent="0.45">
      <c r="A100" s="463" t="s">
        <v>67</v>
      </c>
      <c r="B100" s="549">
        <v>100</v>
      </c>
      <c r="C100" s="469">
        <v>1</v>
      </c>
      <c r="D100" s="470">
        <v>0.3891</v>
      </c>
      <c r="E100" s="550">
        <f>IF(ISBLANK(D100),"-",$D$110/$D$107*D100)</f>
        <v>0.34278010552939986</v>
      </c>
      <c r="F100" s="551">
        <v>0.36880000000000002</v>
      </c>
      <c r="G100" s="472">
        <f>IF(ISBLANK(F100),"-",$D$110/$F$107*F100)</f>
        <v>0.34968800601900824</v>
      </c>
    </row>
    <row r="101" spans="1:7" ht="26.25" hidden="1" customHeight="1" thickBot="1" x14ac:dyDescent="0.45">
      <c r="A101" s="463" t="s">
        <v>68</v>
      </c>
      <c r="B101" s="549">
        <v>1</v>
      </c>
      <c r="C101" s="473">
        <v>2</v>
      </c>
      <c r="D101" s="474">
        <v>0.39250000000000002</v>
      </c>
      <c r="E101" s="552">
        <f>IF(ISBLANK(D101),"-",$D$110/$D$107*D101)</f>
        <v>0.34577535702978529</v>
      </c>
      <c r="F101" s="452">
        <v>0.36659999999999998</v>
      </c>
      <c r="G101" s="476">
        <f>IF(ISBLANK(F101),"-",$D$110/$F$107*F101)</f>
        <v>0.34760201465989266</v>
      </c>
    </row>
    <row r="102" spans="1:7" ht="26.25" hidden="1" customHeight="1" thickBot="1" x14ac:dyDescent="0.45">
      <c r="A102" s="463" t="s">
        <v>69</v>
      </c>
      <c r="B102" s="549">
        <v>1</v>
      </c>
      <c r="C102" s="473">
        <v>3</v>
      </c>
      <c r="D102" s="474">
        <v>0.39029999999999998</v>
      </c>
      <c r="E102" s="552">
        <f>IF(ISBLANK(D102),"-",$D$110/$D$107*D102)</f>
        <v>0.34383725311777114</v>
      </c>
      <c r="F102" s="553">
        <v>0.3644</v>
      </c>
      <c r="G102" s="476">
        <f>IF(ISBLANK(F102),"-",$D$110/$F$107*F102)</f>
        <v>0.34551602330077713</v>
      </c>
    </row>
    <row r="103" spans="1:7" ht="21" hidden="1" customHeight="1" thickBot="1" x14ac:dyDescent="0.45">
      <c r="A103" s="463" t="s">
        <v>70</v>
      </c>
      <c r="B103" s="549">
        <v>1</v>
      </c>
      <c r="C103" s="477">
        <v>4</v>
      </c>
      <c r="D103" s="478"/>
      <c r="E103" s="554" t="str">
        <f>IF(ISBLANK(D103),"-",$D$110/$D$107*D103)</f>
        <v>-</v>
      </c>
      <c r="F103" s="555"/>
      <c r="G103" s="480" t="str">
        <f>IF(ISBLANK(F103),"-",$D$110/$F$107*F103)</f>
        <v>-</v>
      </c>
    </row>
    <row r="104" spans="1:7" ht="27" hidden="1" customHeight="1" thickBot="1" x14ac:dyDescent="0.45">
      <c r="A104" s="463" t="s">
        <v>71</v>
      </c>
      <c r="B104" s="549">
        <v>1</v>
      </c>
      <c r="C104" s="481" t="s">
        <v>72</v>
      </c>
      <c r="D104" s="556">
        <f>AVERAGE(D100:D103)</f>
        <v>0.39063333333333333</v>
      </c>
      <c r="E104" s="483">
        <f>AVERAGE(E100:E103)</f>
        <v>0.3441309052256521</v>
      </c>
      <c r="F104" s="556">
        <f>AVERAGE(F100:F103)</f>
        <v>0.36660000000000004</v>
      </c>
      <c r="G104" s="557">
        <f>AVERAGE(G100:G103)</f>
        <v>0.34760201465989266</v>
      </c>
    </row>
    <row r="105" spans="1:7" ht="26.25" hidden="1" customHeight="1" thickBot="1" x14ac:dyDescent="0.45">
      <c r="A105" s="463" t="s">
        <v>73</v>
      </c>
      <c r="B105" s="549">
        <v>1</v>
      </c>
      <c r="C105" s="485" t="s">
        <v>74</v>
      </c>
      <c r="D105" s="558">
        <v>21.44</v>
      </c>
      <c r="E105" s="440"/>
      <c r="F105" s="486">
        <v>19.920000000000002</v>
      </c>
      <c r="G105" s="440"/>
    </row>
    <row r="106" spans="1:7" ht="26.25" hidden="1" customHeight="1" thickBot="1" x14ac:dyDescent="0.45">
      <c r="A106" s="463" t="s">
        <v>75</v>
      </c>
      <c r="B106" s="549">
        <v>1</v>
      </c>
      <c r="C106" s="487" t="s">
        <v>76</v>
      </c>
      <c r="D106" s="559">
        <f>D105*$B$96</f>
        <v>20.277421487603306</v>
      </c>
      <c r="E106" s="489"/>
      <c r="F106" s="488">
        <f>F105*$B$96</f>
        <v>18.839843098556802</v>
      </c>
      <c r="G106" s="440"/>
    </row>
    <row r="107" spans="1:7" ht="19.5" hidden="1" customHeight="1" thickBot="1" x14ac:dyDescent="0.35">
      <c r="A107" s="463" t="s">
        <v>77</v>
      </c>
      <c r="B107" s="473">
        <f>(B106/B105)*(B104/B103)*(B102/B101)*(B100/B99)*B98</f>
        <v>1666.6666666666667</v>
      </c>
      <c r="C107" s="487" t="s">
        <v>78</v>
      </c>
      <c r="D107" s="560">
        <f>D106*$B$91/100</f>
        <v>18.918834247933884</v>
      </c>
      <c r="E107" s="492"/>
      <c r="F107" s="491">
        <f>F106*$B$91/100</f>
        <v>17.577573610953497</v>
      </c>
      <c r="G107" s="440"/>
    </row>
    <row r="108" spans="1:7" ht="19.5" hidden="1" customHeight="1" thickBot="1" x14ac:dyDescent="0.35">
      <c r="A108" s="660" t="s">
        <v>79</v>
      </c>
      <c r="B108" s="661"/>
      <c r="C108" s="487" t="s">
        <v>80</v>
      </c>
      <c r="D108" s="559">
        <f>D107/$B$107</f>
        <v>1.1351300548760329E-2</v>
      </c>
      <c r="E108" s="492"/>
      <c r="F108" s="493">
        <f>F107/$B$107</f>
        <v>1.0546544166572098E-2</v>
      </c>
      <c r="G108" s="561"/>
    </row>
    <row r="109" spans="1:7" ht="19.5" hidden="1" customHeight="1" thickBot="1" x14ac:dyDescent="0.35">
      <c r="A109" s="662"/>
      <c r="B109" s="663"/>
      <c r="C109" s="562" t="s">
        <v>81</v>
      </c>
      <c r="D109" s="563">
        <f>$B$56/$B$125</f>
        <v>0.01</v>
      </c>
      <c r="E109" s="440"/>
      <c r="F109" s="496"/>
      <c r="G109" s="564"/>
    </row>
    <row r="110" spans="1:7" ht="18.75" hidden="1" customHeight="1" thickBot="1" x14ac:dyDescent="0.35">
      <c r="A110" s="440"/>
      <c r="B110" s="440"/>
      <c r="C110" s="565" t="s">
        <v>82</v>
      </c>
      <c r="D110" s="559">
        <f>D109*$B$107</f>
        <v>16.666666666666668</v>
      </c>
      <c r="E110" s="440"/>
      <c r="F110" s="496"/>
      <c r="G110" s="561"/>
    </row>
    <row r="111" spans="1:7" ht="19.5" hidden="1" customHeight="1" thickBot="1" x14ac:dyDescent="0.35">
      <c r="A111" s="440"/>
      <c r="B111" s="440"/>
      <c r="C111" s="566" t="s">
        <v>83</v>
      </c>
      <c r="D111" s="567">
        <f>D110/B96</f>
        <v>17.622227439114521</v>
      </c>
      <c r="E111" s="440"/>
      <c r="F111" s="500"/>
      <c r="G111" s="561"/>
    </row>
    <row r="112" spans="1:7" ht="18.75" hidden="1" customHeight="1" thickBot="1" x14ac:dyDescent="0.35">
      <c r="A112" s="440"/>
      <c r="B112" s="440"/>
      <c r="C112" s="568" t="s">
        <v>84</v>
      </c>
      <c r="D112" s="569">
        <f>AVERAGE(E100:E103,G100:G103)</f>
        <v>0.34586645994277238</v>
      </c>
      <c r="E112" s="440"/>
      <c r="F112" s="500"/>
      <c r="G112" s="564"/>
    </row>
    <row r="113" spans="1:7" ht="18.75" hidden="1" customHeight="1" thickBot="1" x14ac:dyDescent="0.35">
      <c r="A113" s="440"/>
      <c r="B113" s="440"/>
      <c r="C113" s="570" t="s">
        <v>85</v>
      </c>
      <c r="D113" s="571">
        <f>STDEV(E100:E103,G100:G103)/D112</f>
        <v>7.244481120350298E-3</v>
      </c>
      <c r="E113" s="440"/>
      <c r="F113" s="500"/>
      <c r="G113" s="561"/>
    </row>
    <row r="114" spans="1:7" ht="19.5" hidden="1" customHeight="1" thickBot="1" x14ac:dyDescent="0.35">
      <c r="A114" s="440"/>
      <c r="B114" s="440"/>
      <c r="C114" s="572" t="s">
        <v>19</v>
      </c>
      <c r="D114" s="573">
        <f>COUNT(E100:E103,G100:G103)</f>
        <v>6</v>
      </c>
      <c r="E114" s="440"/>
      <c r="F114" s="500"/>
      <c r="G114" s="561"/>
    </row>
    <row r="115" spans="1:7" ht="19.5" hidden="1" customHeight="1" thickBot="1" x14ac:dyDescent="0.35">
      <c r="A115" s="441"/>
      <c r="B115" s="441"/>
      <c r="C115" s="441"/>
      <c r="D115" s="441"/>
      <c r="E115" s="441"/>
      <c r="F115" s="440"/>
      <c r="G115" s="440"/>
    </row>
    <row r="116" spans="1:7" ht="26.25" hidden="1" customHeight="1" thickBot="1" x14ac:dyDescent="0.45">
      <c r="A116" s="461" t="s">
        <v>113</v>
      </c>
      <c r="B116" s="546">
        <v>1000</v>
      </c>
      <c r="C116" s="547" t="s">
        <v>145</v>
      </c>
      <c r="D116" s="574" t="s">
        <v>65</v>
      </c>
      <c r="E116" s="575" t="s">
        <v>115</v>
      </c>
      <c r="F116" s="576" t="s">
        <v>116</v>
      </c>
      <c r="G116" s="440"/>
    </row>
    <row r="117" spans="1:7" ht="26.25" hidden="1" customHeight="1" thickBot="1" x14ac:dyDescent="0.45">
      <c r="A117" s="463" t="s">
        <v>94</v>
      </c>
      <c r="B117" s="549">
        <v>5</v>
      </c>
      <c r="C117" s="518">
        <v>1</v>
      </c>
      <c r="D117" s="577">
        <v>0.3206</v>
      </c>
      <c r="E117" s="515">
        <f t="shared" ref="E117:E122" si="3">IF(ISBLANK(D117),"-",D117/$D$112*$D$109*$B$125)</f>
        <v>37.077894173727856</v>
      </c>
      <c r="F117" s="578">
        <f t="shared" ref="F117:F122" si="4">IF(ISBLANK(D117), "-", E117/$B$56)</f>
        <v>0.92694735434319642</v>
      </c>
      <c r="G117" s="440"/>
    </row>
    <row r="118" spans="1:7" ht="26.25" hidden="1" customHeight="1" thickBot="1" x14ac:dyDescent="0.45">
      <c r="A118" s="463" t="s">
        <v>96</v>
      </c>
      <c r="B118" s="549">
        <v>20</v>
      </c>
      <c r="C118" s="518">
        <v>2</v>
      </c>
      <c r="D118" s="577">
        <v>0.32850000000000001</v>
      </c>
      <c r="E118" s="520">
        <f t="shared" si="3"/>
        <v>37.991541597222721</v>
      </c>
      <c r="F118" s="579">
        <f t="shared" si="4"/>
        <v>0.949788539930568</v>
      </c>
      <c r="G118" s="440"/>
    </row>
    <row r="119" spans="1:7" ht="26.25" hidden="1" customHeight="1" thickBot="1" x14ac:dyDescent="0.45">
      <c r="A119" s="463" t="s">
        <v>97</v>
      </c>
      <c r="B119" s="549">
        <v>1</v>
      </c>
      <c r="C119" s="518">
        <v>3</v>
      </c>
      <c r="D119" s="577">
        <v>0.32179999999999997</v>
      </c>
      <c r="E119" s="520">
        <f t="shared" si="3"/>
        <v>37.216676060840996</v>
      </c>
      <c r="F119" s="579">
        <f t="shared" si="4"/>
        <v>0.93041690152102485</v>
      </c>
      <c r="G119" s="440"/>
    </row>
    <row r="120" spans="1:7" ht="26.25" hidden="1" customHeight="1" thickBot="1" x14ac:dyDescent="0.45">
      <c r="A120" s="463" t="s">
        <v>98</v>
      </c>
      <c r="B120" s="549">
        <v>1</v>
      </c>
      <c r="C120" s="518">
        <v>4</v>
      </c>
      <c r="D120" s="577">
        <v>0.33479999999999999</v>
      </c>
      <c r="E120" s="520">
        <f t="shared" si="3"/>
        <v>38.720146504566713</v>
      </c>
      <c r="F120" s="579">
        <f t="shared" si="4"/>
        <v>0.96800366261416781</v>
      </c>
      <c r="G120" s="440"/>
    </row>
    <row r="121" spans="1:7" ht="26.25" hidden="1" customHeight="1" thickBot="1" x14ac:dyDescent="0.45">
      <c r="A121" s="463" t="s">
        <v>99</v>
      </c>
      <c r="B121" s="549">
        <v>1</v>
      </c>
      <c r="C121" s="518">
        <v>5</v>
      </c>
      <c r="D121" s="577">
        <v>0.31950000000000001</v>
      </c>
      <c r="E121" s="520">
        <f t="shared" si="3"/>
        <v>36.950677443874149</v>
      </c>
      <c r="F121" s="579">
        <f t="shared" si="4"/>
        <v>0.92376693609685367</v>
      </c>
      <c r="G121" s="440"/>
    </row>
    <row r="122" spans="1:7" ht="26.25" hidden="1" customHeight="1" thickBot="1" x14ac:dyDescent="0.45">
      <c r="A122" s="463" t="s">
        <v>101</v>
      </c>
      <c r="B122" s="549">
        <v>1</v>
      </c>
      <c r="C122" s="580">
        <v>6</v>
      </c>
      <c r="D122" s="581">
        <v>0.33489999999999998</v>
      </c>
      <c r="E122" s="582">
        <f t="shared" si="3"/>
        <v>38.731711661826139</v>
      </c>
      <c r="F122" s="583">
        <f t="shared" si="4"/>
        <v>0.96829279154565351</v>
      </c>
      <c r="G122" s="440"/>
    </row>
    <row r="123" spans="1:7" ht="26.25" hidden="1" customHeight="1" thickBot="1" x14ac:dyDescent="0.45">
      <c r="A123" s="463" t="s">
        <v>102</v>
      </c>
      <c r="B123" s="549">
        <v>1</v>
      </c>
      <c r="C123" s="518"/>
      <c r="D123" s="489"/>
      <c r="E123" s="440"/>
      <c r="F123" s="522"/>
      <c r="G123" s="440"/>
    </row>
    <row r="124" spans="1:7" ht="26.25" hidden="1" customHeight="1" thickBot="1" x14ac:dyDescent="0.45">
      <c r="A124" s="463" t="s">
        <v>103</v>
      </c>
      <c r="B124" s="549">
        <v>1</v>
      </c>
      <c r="C124" s="518"/>
      <c r="D124" s="584"/>
      <c r="E124" s="585" t="s">
        <v>72</v>
      </c>
      <c r="F124" s="586">
        <f>AVERAGE(F117:F122)</f>
        <v>0.94453603100857741</v>
      </c>
      <c r="G124" s="440"/>
    </row>
    <row r="125" spans="1:7" ht="27" hidden="1" customHeight="1" thickBot="1" x14ac:dyDescent="0.45">
      <c r="A125" s="463" t="s">
        <v>104</v>
      </c>
      <c r="B125" s="473">
        <f>(B124/B123)*(B122/B121)*(B120/B119)*(B118/B117)*B116</f>
        <v>4000</v>
      </c>
      <c r="C125" s="587"/>
      <c r="D125" s="588"/>
      <c r="E125" s="451" t="s">
        <v>85</v>
      </c>
      <c r="F125" s="533">
        <f>STDEV(F117:F122)/F124</f>
        <v>2.1608121476601856E-2</v>
      </c>
      <c r="G125" s="440"/>
    </row>
    <row r="126" spans="1:7" ht="27" hidden="1" customHeight="1" thickBot="1" x14ac:dyDescent="0.45">
      <c r="A126" s="660" t="s">
        <v>79</v>
      </c>
      <c r="B126" s="661"/>
      <c r="C126" s="589"/>
      <c r="D126" s="590"/>
      <c r="E126" s="591" t="s">
        <v>19</v>
      </c>
      <c r="F126" s="592">
        <f>COUNT(F117:F122)</f>
        <v>6</v>
      </c>
      <c r="G126" s="440"/>
    </row>
    <row r="127" spans="1:7" ht="19.5" hidden="1" customHeight="1" thickBot="1" x14ac:dyDescent="0.35">
      <c r="A127" s="662"/>
      <c r="B127" s="663"/>
      <c r="C127" s="440"/>
      <c r="D127" s="440"/>
      <c r="E127" s="440"/>
      <c r="F127" s="489"/>
      <c r="G127" s="440"/>
    </row>
    <row r="128" spans="1:7" ht="18.75" hidden="1" customHeight="1" thickBot="1" x14ac:dyDescent="0.35">
      <c r="A128" s="458"/>
      <c r="B128" s="458"/>
      <c r="C128" s="440"/>
      <c r="D128" s="440"/>
      <c r="E128" s="440"/>
      <c r="F128" s="489"/>
      <c r="G128" s="440"/>
    </row>
    <row r="129" spans="1:7" ht="18.75" hidden="1" customHeight="1" thickBot="1" x14ac:dyDescent="0.35">
      <c r="A129" s="450" t="s">
        <v>107</v>
      </c>
      <c r="B129" s="451" t="s">
        <v>118</v>
      </c>
      <c r="C129" s="666" t="str">
        <f>B20</f>
        <v>Pantoprazole</v>
      </c>
      <c r="D129" s="666"/>
      <c r="E129" s="440" t="s">
        <v>119</v>
      </c>
      <c r="F129" s="440"/>
      <c r="G129" s="539">
        <f>F124</f>
        <v>0.94453603100857741</v>
      </c>
    </row>
    <row r="130" spans="1:7" ht="19.5" hidden="1" customHeight="1" thickBot="1" x14ac:dyDescent="0.35">
      <c r="A130" s="593"/>
      <c r="B130" s="593"/>
      <c r="C130" s="594"/>
      <c r="D130" s="594"/>
      <c r="E130" s="594"/>
      <c r="F130" s="594"/>
      <c r="G130" s="594"/>
    </row>
    <row r="131" spans="1:7" ht="18.75" customHeight="1" x14ac:dyDescent="0.3">
      <c r="A131" s="440"/>
      <c r="B131" s="669" t="s">
        <v>25</v>
      </c>
      <c r="C131" s="669"/>
      <c r="D131" s="440"/>
      <c r="E131" s="595" t="s">
        <v>26</v>
      </c>
      <c r="F131" s="596"/>
      <c r="G131" s="595" t="s">
        <v>27</v>
      </c>
    </row>
    <row r="132" spans="1:7" ht="60" customHeight="1" x14ac:dyDescent="0.3">
      <c r="A132" s="450" t="s">
        <v>28</v>
      </c>
      <c r="B132" s="597"/>
      <c r="C132" s="597"/>
      <c r="D132" s="440"/>
      <c r="E132" s="597"/>
      <c r="F132" s="440"/>
      <c r="G132" s="597"/>
    </row>
    <row r="133" spans="1:7" ht="60" customHeight="1" x14ac:dyDescent="0.3">
      <c r="A133" s="450" t="s">
        <v>29</v>
      </c>
      <c r="B133" s="598"/>
      <c r="C133" s="598"/>
      <c r="D133" s="440"/>
      <c r="E133" s="598"/>
      <c r="F133" s="440"/>
      <c r="G133" s="599"/>
    </row>
    <row r="250" spans="1:1" x14ac:dyDescent="0.2">
      <c r="A250" s="439">
        <v>5</v>
      </c>
    </row>
  </sheetData>
  <sheetProtection password="F258" sheet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E18"/>
    <mergeCell ref="B20:C20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2&amp;CPage &amp;P of &amp;N&amp;R&amp;D &amp;T</oddHeader>
    <oddFooter>&amp;LNQCL/ADDO/014</oddFooter>
  </headerFooter>
  <rowBreaks count="1" manualBreakCount="1">
    <brk id="8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</vt:lpstr>
      <vt:lpstr>Uniformity</vt:lpstr>
      <vt:lpstr>Pantoprazole Acid stage</vt:lpstr>
      <vt:lpstr>Pantoprazole Buffer stage</vt:lpstr>
      <vt:lpstr>Uniformity of content</vt:lpstr>
      <vt:lpstr>'Pantoprazole Acid stage'!Print_Area</vt:lpstr>
      <vt:lpstr>'Pantoprazole Buffer stage'!Print_Area</vt:lpstr>
      <vt:lpstr>Uniformity!Print_Area</vt:lpstr>
      <vt:lpstr>'Uniformity of content'!Print_Area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2016-08-10T11:49:58Z</cp:lastPrinted>
  <dcterms:created xsi:type="dcterms:W3CDTF">2005-07-05T10:19:27Z</dcterms:created>
  <dcterms:modified xsi:type="dcterms:W3CDTF">2016-08-10T11:52:05Z</dcterms:modified>
</cp:coreProperties>
</file>