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Clopidogrel" sheetId="3" r:id="rId3"/>
    <sheet name="Clopidogrel 1" sheetId="4" r:id="rId4"/>
  </sheets>
  <definedNames>
    <definedName name="_xlnm.Print_Area" localSheetId="2">Clopidogrel!$A$1:$H$134</definedName>
    <definedName name="_xlnm.Print_Area" localSheetId="3">'Clopidogrel 1'!$A$1:$I$124</definedName>
    <definedName name="_xlnm.Print_Area" localSheetId="0">SST!$A$15:$G$62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43" i="1" l="1"/>
  <c r="B21" i="1"/>
  <c r="C120" i="4"/>
  <c r="B116" i="4"/>
  <c r="D100" i="4" s="1"/>
  <c r="B98" i="4"/>
  <c r="D97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D48" i="4"/>
  <c r="B45" i="4"/>
  <c r="F42" i="4"/>
  <c r="D42" i="4"/>
  <c r="B34" i="4"/>
  <c r="D44" i="4" s="1"/>
  <c r="B30" i="4"/>
  <c r="C129" i="3"/>
  <c r="B125" i="3"/>
  <c r="D109" i="3" s="1"/>
  <c r="B107" i="3"/>
  <c r="F104" i="3"/>
  <c r="D104" i="3"/>
  <c r="G103" i="3"/>
  <c r="E103" i="3"/>
  <c r="B96" i="3"/>
  <c r="D106" i="3" s="1"/>
  <c r="D107" i="3" s="1"/>
  <c r="B90" i="3"/>
  <c r="B91" i="3"/>
  <c r="C74" i="3"/>
  <c r="E68" i="3"/>
  <c r="G68" i="3" s="1"/>
  <c r="G67" i="3"/>
  <c r="E67" i="3"/>
  <c r="B67" i="3"/>
  <c r="E66" i="3"/>
  <c r="G66" i="3" s="1"/>
  <c r="E65" i="3"/>
  <c r="G65" i="3" s="1"/>
  <c r="G64" i="3"/>
  <c r="E64" i="3"/>
  <c r="E63" i="3"/>
  <c r="E62" i="3"/>
  <c r="G62" i="3" s="1"/>
  <c r="E61" i="3"/>
  <c r="G61" i="3" s="1"/>
  <c r="E60" i="3"/>
  <c r="G60" i="3" s="1"/>
  <c r="G59" i="3"/>
  <c r="E59" i="3"/>
  <c r="B57" i="3"/>
  <c r="C56" i="3"/>
  <c r="B55" i="3"/>
  <c r="B45" i="3"/>
  <c r="D48" i="3" s="1"/>
  <c r="G40" i="3" s="1"/>
  <c r="F42" i="3"/>
  <c r="D42" i="3"/>
  <c r="G41" i="3"/>
  <c r="E41" i="3"/>
  <c r="B34" i="3"/>
  <c r="F44" i="3" s="1"/>
  <c r="B30" i="3"/>
  <c r="C49" i="2"/>
  <c r="C46" i="2"/>
  <c r="B57" i="4" s="1"/>
  <c r="C45" i="2"/>
  <c r="D43" i="2"/>
  <c r="D39" i="2"/>
  <c r="D35" i="2"/>
  <c r="D31" i="2"/>
  <c r="D29" i="2"/>
  <c r="D27" i="2"/>
  <c r="D25" i="2"/>
  <c r="C19" i="2"/>
  <c r="B53" i="1"/>
  <c r="B52" i="1"/>
  <c r="B32" i="1"/>
  <c r="E30" i="1"/>
  <c r="D30" i="1"/>
  <c r="C30" i="1"/>
  <c r="B30" i="1"/>
  <c r="B31" i="1" s="1"/>
  <c r="D101" i="4" l="1"/>
  <c r="G93" i="4" s="1"/>
  <c r="I92" i="4"/>
  <c r="I39" i="4"/>
  <c r="F44" i="4"/>
  <c r="F45" i="4" s="1"/>
  <c r="D45" i="4"/>
  <c r="D46" i="4" s="1"/>
  <c r="D108" i="3"/>
  <c r="D110" i="3"/>
  <c r="D111" i="3" s="1"/>
  <c r="F106" i="3"/>
  <c r="F107" i="3" s="1"/>
  <c r="G63" i="3"/>
  <c r="E39" i="3"/>
  <c r="D50" i="3" s="1"/>
  <c r="D51" i="3" s="1"/>
  <c r="G39" i="3"/>
  <c r="D52" i="3" s="1"/>
  <c r="E38" i="3"/>
  <c r="E40" i="3"/>
  <c r="G38" i="3"/>
  <c r="D49" i="3"/>
  <c r="D44" i="3"/>
  <c r="D45" i="3" s="1"/>
  <c r="D46" i="3" s="1"/>
  <c r="G70" i="3"/>
  <c r="G74" i="3" s="1"/>
  <c r="G42" i="3"/>
  <c r="F45" i="3"/>
  <c r="F46" i="3" s="1"/>
  <c r="E70" i="3"/>
  <c r="C81" i="3"/>
  <c r="E38" i="4"/>
  <c r="B69" i="4"/>
  <c r="D98" i="4"/>
  <c r="F98" i="4"/>
  <c r="G94" i="4" s="1"/>
  <c r="G72" i="3"/>
  <c r="D24" i="2"/>
  <c r="D28" i="2"/>
  <c r="D32" i="2"/>
  <c r="D36" i="2"/>
  <c r="D40" i="2"/>
  <c r="D49" i="2"/>
  <c r="D49" i="4"/>
  <c r="D33" i="2"/>
  <c r="D37" i="2"/>
  <c r="D41" i="2"/>
  <c r="C50" i="2"/>
  <c r="E72" i="3"/>
  <c r="E94" i="4"/>
  <c r="D26" i="2"/>
  <c r="D30" i="2"/>
  <c r="D34" i="2"/>
  <c r="D38" i="2"/>
  <c r="D42" i="2"/>
  <c r="B49" i="2"/>
  <c r="D50" i="2"/>
  <c r="E42" i="3"/>
  <c r="D102" i="4" l="1"/>
  <c r="E92" i="4"/>
  <c r="G38" i="4"/>
  <c r="G39" i="4"/>
  <c r="F46" i="4"/>
  <c r="G40" i="4"/>
  <c r="G41" i="4"/>
  <c r="E40" i="4"/>
  <c r="E91" i="4"/>
  <c r="E39" i="4"/>
  <c r="E41" i="4"/>
  <c r="E101" i="3"/>
  <c r="E102" i="3"/>
  <c r="E100" i="3"/>
  <c r="F108" i="3"/>
  <c r="G102" i="3"/>
  <c r="G100" i="3"/>
  <c r="G101" i="3"/>
  <c r="F60" i="3"/>
  <c r="F68" i="3"/>
  <c r="F67" i="3"/>
  <c r="F66" i="3"/>
  <c r="F65" i="3"/>
  <c r="F64" i="3"/>
  <c r="F61" i="3"/>
  <c r="F63" i="3"/>
  <c r="F62" i="3"/>
  <c r="E71" i="3"/>
  <c r="F59" i="3"/>
  <c r="C82" i="3"/>
  <c r="C79" i="3"/>
  <c r="G71" i="3"/>
  <c r="E93" i="4"/>
  <c r="D99" i="4"/>
  <c r="F99" i="4"/>
  <c r="G91" i="4"/>
  <c r="G92" i="4"/>
  <c r="E95" i="4" l="1"/>
  <c r="D50" i="4"/>
  <c r="G62" i="4" s="1"/>
  <c r="H62" i="4" s="1"/>
  <c r="E42" i="4"/>
  <c r="D52" i="4"/>
  <c r="G42" i="4"/>
  <c r="G95" i="4"/>
  <c r="D112" i="3"/>
  <c r="E104" i="3"/>
  <c r="G104" i="3"/>
  <c r="D114" i="3"/>
  <c r="F72" i="3"/>
  <c r="F70" i="3"/>
  <c r="F71" i="3" s="1"/>
  <c r="C83" i="3"/>
  <c r="D105" i="4"/>
  <c r="D103" i="4"/>
  <c r="D113" i="3" l="1"/>
  <c r="E122" i="3"/>
  <c r="F122" i="3" s="1"/>
  <c r="E119" i="3"/>
  <c r="F119" i="3" s="1"/>
  <c r="E121" i="3"/>
  <c r="F121" i="3" s="1"/>
  <c r="E117" i="3"/>
  <c r="F117" i="3" s="1"/>
  <c r="E118" i="3"/>
  <c r="F118" i="3" s="1"/>
  <c r="E120" i="3"/>
  <c r="F120" i="3" s="1"/>
  <c r="G61" i="4"/>
  <c r="H61" i="4" s="1"/>
  <c r="G67" i="4"/>
  <c r="H67" i="4" s="1"/>
  <c r="G69" i="4"/>
  <c r="H69" i="4" s="1"/>
  <c r="G70" i="4"/>
  <c r="H70" i="4" s="1"/>
  <c r="G68" i="4"/>
  <c r="H68" i="4" s="1"/>
  <c r="G66" i="4"/>
  <c r="H66" i="4" s="1"/>
  <c r="G60" i="4"/>
  <c r="H60" i="4" s="1"/>
  <c r="G65" i="4"/>
  <c r="H65" i="4" s="1"/>
  <c r="G71" i="4"/>
  <c r="H71" i="4" s="1"/>
  <c r="D51" i="4"/>
  <c r="G64" i="4"/>
  <c r="H64" i="4" s="1"/>
  <c r="G63" i="4"/>
  <c r="H63" i="4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F126" i="3" l="1"/>
  <c r="F124" i="3"/>
  <c r="G72" i="4"/>
  <c r="G73" i="4" s="1"/>
  <c r="G74" i="4"/>
  <c r="H74" i="4"/>
  <c r="H72" i="4"/>
  <c r="E117" i="4"/>
  <c r="F108" i="4"/>
  <c r="E115" i="4"/>
  <c r="E116" i="4" s="1"/>
  <c r="F125" i="3" l="1"/>
  <c r="G129" i="3"/>
  <c r="F117" i="4"/>
  <c r="F115" i="4"/>
  <c r="G76" i="4"/>
  <c r="H73" i="4"/>
  <c r="G120" i="4" l="1"/>
  <c r="F116" i="4"/>
</calcChain>
</file>

<file path=xl/sharedStrings.xml><?xml version="1.0" encoding="utf-8"?>
<sst xmlns="http://schemas.openxmlformats.org/spreadsheetml/2006/main" count="397" uniqueCount="149">
  <si>
    <t>HPLC System Suitability Report</t>
  </si>
  <si>
    <t>Analysis Data</t>
  </si>
  <si>
    <t>Assay</t>
  </si>
  <si>
    <t>Sample(s)</t>
  </si>
  <si>
    <t>Reference Substance:</t>
  </si>
  <si>
    <t>MYDAWA CLOPIDROGEL 75 MG TABLETS</t>
  </si>
  <si>
    <t>% age Purity:</t>
  </si>
  <si>
    <t>NDQD2016061207</t>
  </si>
  <si>
    <t>Weight (mg):</t>
  </si>
  <si>
    <t>Clopidrogel</t>
  </si>
  <si>
    <t>Standard Conc (mg/mL):</t>
  </si>
  <si>
    <t>Each tablet contains Clopidrogel 75 mg</t>
  </si>
  <si>
    <t>2016-06-23 14:25:31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</si>
  <si>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</si>
  <si>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</si>
  <si>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</si>
  <si>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</si>
  <si>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</si>
  <si>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</si>
  <si>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</si>
  <si>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</si>
  <si>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</si>
  <si>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</si>
  <si>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</si>
  <si>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</si>
  <si>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</si>
  <si>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</si>
  <si>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</si>
  <si>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</si>
  <si>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</si>
  <si>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</si>
  <si>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</si>
  <si>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</si>
  <si>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</si>
  <si>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</si>
  <si>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</si>
  <si>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</si>
  <si>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</si>
  <si>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</si>
  <si>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</si>
  <si>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</si>
  <si>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</si>
  <si>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</si>
  <si>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</si>
  <si>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</si>
  <si>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</si>
  <si>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</si>
  <si>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</si>
  <si>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</si>
  <si>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</si>
  <si>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</si>
  <si>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</si>
  <si>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</si>
  <si>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</si>
  <si>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</si>
  <si>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</si>
  <si>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</si>
  <si>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</si>
  <si>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</si>
  <si>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</si>
  <si>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</si>
  <si>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</si>
  <si>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</si>
  <si>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</si>
  <si>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</si>
  <si>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</si>
  <si>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</si>
  <si>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</si>
  <si>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</si>
  <si>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</si>
  <si>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</si>
  <si>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</si>
  <si>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</si>
  <si>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</si>
  <si>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</si>
  <si>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</si>
  <si>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</si>
  <si>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</si>
  <si>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</si>
  <si>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</si>
  <si>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</si>
  <si>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</si>
  <si>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</si>
  <si>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</si>
  <si>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</si>
  <si>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</si>
  <si>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</si>
  <si>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</si>
  <si>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</si>
  <si>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</si>
  <si>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</si>
  <si>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</si>
  <si>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</si>
  <si>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</si>
  <si>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</si>
  <si>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</si>
  <si>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</si>
  <si>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</si>
  <si>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</si>
  <si>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</si>
  <si>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</si>
  <si>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</si>
  <si>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</si>
  <si>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</si>
  <si>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</si>
  <si>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</si>
  <si>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</si>
  <si>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</si>
  <si>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</si>
  <si>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</si>
  <si>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</si>
  <si>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</si>
  <si>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</si>
  <si>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</si>
  <si>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</si>
  <si>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</si>
  <si>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</si>
  <si>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</si>
  <si>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</si>
  <si>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</si>
  <si>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</si>
  <si>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</si>
  <si>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</si>
  <si>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</si>
  <si>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</si>
  <si>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</si>
  <si>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</si>
  <si>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</si>
  <si>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</si>
  <si>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</si>
  <si>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</si>
  <si>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</si>
  <si>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</si>
  <si>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</si>
  <si>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</si>
  <si>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</si>
  <si>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</si>
  <si>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</si>
  <si>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</si>
  <si>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</si>
  <si>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</si>
  <si>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</si>
  <si>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</si>
  <si>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</si>
  <si>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Capsule No.</t>
  </si>
  <si>
    <t>Clopidogrel</t>
  </si>
  <si>
    <t>C13-1</t>
  </si>
  <si>
    <t>RUTTO/JOYFRIDA</t>
  </si>
  <si>
    <t>28/06/2016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</si>
</sst>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  <numFmt numFmtId="172" formatCode="dd\-mmm\-yyyy"/>
    <numFmt numFmtId="173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14"/>
      <color rgb="FF000000"/>
      <name val="Calibri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70" fontId="11" fillId="2" borderId="27" xfId="0" applyNumberFormat="1" applyFont="1" applyFill="1" applyBorder="1" applyAlignment="1">
      <alignment horizontal="center"/>
    </xf>
    <xf numFmtId="170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2" xfId="0" applyNumberFormat="1" applyFont="1" applyFill="1" applyBorder="1" applyAlignment="1">
      <alignment horizontal="center"/>
    </xf>
    <xf numFmtId="170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70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70" fontId="11" fillId="2" borderId="3" xfId="0" applyNumberFormat="1" applyFont="1" applyFill="1" applyBorder="1" applyAlignment="1">
      <alignment horizontal="center"/>
    </xf>
    <xf numFmtId="170" fontId="14" fillId="3" borderId="0" xfId="0" applyNumberFormat="1" applyFont="1" applyFill="1" applyAlignment="1" applyProtection="1">
      <alignment horizontal="center"/>
      <protection locked="0"/>
    </xf>
    <xf numFmtId="170" fontId="11" fillId="2" borderId="5" xfId="0" applyNumberFormat="1" applyFont="1" applyFill="1" applyBorder="1" applyAlignment="1">
      <alignment horizontal="center"/>
    </xf>
    <xf numFmtId="170" fontId="14" fillId="3" borderId="7" xfId="0" applyNumberFormat="1" applyFont="1" applyFill="1" applyBorder="1" applyAlignment="1" applyProtection="1">
      <alignment horizontal="center"/>
      <protection locked="0"/>
    </xf>
    <xf numFmtId="170" fontId="12" fillId="6" borderId="53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170" fontId="14" fillId="3" borderId="32" xfId="0" applyNumberFormat="1" applyFont="1" applyFill="1" applyBorder="1" applyAlignment="1" applyProtection="1">
      <alignment horizontal="center"/>
      <protection locked="0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0" fontId="14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47" xfId="0" applyFont="1" applyFill="1" applyBorder="1" applyAlignment="1" applyProtection="1">
      <alignment horizontal="center" wrapText="1"/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2" fontId="13" fillId="3" borderId="0" xfId="0" applyNumberFormat="1" applyFont="1" applyFill="1" applyAlignment="1" applyProtection="1">
      <alignment horizontal="center"/>
      <protection locked="0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21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8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5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31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70" fontId="11" fillId="2" borderId="27" xfId="0" applyNumberFormat="1" applyFont="1" applyFill="1" applyBorder="1" applyAlignment="1">
      <alignment horizontal="center"/>
    </xf>
    <xf numFmtId="170" fontId="11" fillId="2" borderId="28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2" xfId="0" applyNumberFormat="1" applyFont="1" applyFill="1" applyBorder="1" applyAlignment="1">
      <alignment horizontal="center"/>
    </xf>
    <xf numFmtId="170" fontId="11" fillId="2" borderId="2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1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4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30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3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4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4" fillId="3" borderId="43" xfId="0" applyFont="1" applyFill="1" applyBorder="1" applyAlignment="1" applyProtection="1">
      <alignment horizontal="center"/>
      <protection locked="0"/>
    </xf>
    <xf numFmtId="10" fontId="11" fillId="2" borderId="25" xfId="0" applyNumberFormat="1" applyFont="1" applyFill="1" applyBorder="1" applyAlignment="1">
      <alignment horizontal="center" vertical="center"/>
    </xf>
    <xf numFmtId="10" fontId="11" fillId="2" borderId="31" xfId="0" applyNumberFormat="1" applyFont="1" applyFill="1" applyBorder="1" applyAlignment="1">
      <alignment horizontal="center" vertical="center"/>
    </xf>
    <xf numFmtId="10" fontId="11" fillId="2" borderId="48" xfId="0" applyNumberFormat="1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/>
    </xf>
    <xf numFmtId="2" fontId="13" fillId="2" borderId="48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60" xfId="0" applyFont="1" applyFill="1" applyBorder="1" applyAlignment="1">
      <alignment horizontal="right"/>
    </xf>
    <xf numFmtId="10" fontId="14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4" fillId="7" borderId="61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5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4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62" xfId="0" applyNumberFormat="1" applyFont="1" applyFill="1" applyBorder="1" applyAlignment="1">
      <alignment horizontal="center"/>
    </xf>
    <xf numFmtId="1" fontId="12" fillId="6" borderId="53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63" xfId="0" applyFont="1" applyFill="1" applyBorder="1" applyAlignment="1">
      <alignment horizontal="right"/>
    </xf>
    <xf numFmtId="0" fontId="14" fillId="3" borderId="54" xfId="0" applyFont="1" applyFill="1" applyBorder="1" applyAlignment="1" applyProtection="1">
      <alignment horizontal="center"/>
      <protection locked="0"/>
    </xf>
    <xf numFmtId="0" fontId="11" fillId="2" borderId="26" xfId="0" applyFont="1" applyFill="1" applyBorder="1" applyAlignment="1">
      <alignment horizontal="right"/>
    </xf>
    <xf numFmtId="2" fontId="11" fillId="6" borderId="4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166" fontId="11" fillId="6" borderId="4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4" fillId="3" borderId="32" xfId="0" applyNumberFormat="1" applyFont="1" applyFill="1" applyBorder="1" applyAlignment="1" applyProtection="1">
      <alignment horizontal="center"/>
      <protection locked="0"/>
    </xf>
    <xf numFmtId="10" fontId="11" fillId="2" borderId="28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4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4" fillId="6" borderId="64" xfId="0" applyNumberFormat="1" applyFont="1" applyFill="1" applyBorder="1" applyAlignment="1">
      <alignment horizontal="center"/>
    </xf>
    <xf numFmtId="166" fontId="11" fillId="2" borderId="27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4" fillId="7" borderId="33" xfId="0" applyNumberFormat="1" applyFont="1" applyFill="1" applyBorder="1" applyAlignment="1">
      <alignment horizontal="center"/>
    </xf>
    <xf numFmtId="2" fontId="14" fillId="7" borderId="49" xfId="0" applyNumberFormat="1" applyFont="1" applyFill="1" applyBorder="1" applyAlignment="1">
      <alignment horizontal="center"/>
    </xf>
    <xf numFmtId="0" fontId="13" fillId="2" borderId="0" xfId="0" applyFont="1" applyFill="1"/>
    <xf numFmtId="168" fontId="13" fillId="3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10" fontId="21" fillId="2" borderId="14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4" fillId="3" borderId="13" xfId="0" applyNumberFormat="1" applyFont="1" applyFill="1" applyBorder="1" applyAlignment="1" applyProtection="1">
      <alignment horizontal="center" vertical="center"/>
      <protection locked="0"/>
    </xf>
    <xf numFmtId="2" fontId="14" fillId="3" borderId="14" xfId="0" applyNumberFormat="1" applyFont="1" applyFill="1" applyBorder="1" applyAlignment="1" applyProtection="1">
      <alignment horizontal="center" vertical="center"/>
      <protection locked="0"/>
    </xf>
    <xf numFmtId="2" fontId="14" fillId="3" borderId="15" xfId="0" applyNumberFormat="1" applyFont="1" applyFill="1" applyBorder="1" applyAlignment="1" applyProtection="1">
      <alignment horizontal="center" vertical="center"/>
      <protection locked="0"/>
    </xf>
    <xf numFmtId="0" fontId="17" fillId="2" borderId="21" xfId="0" applyFont="1" applyFill="1" applyBorder="1" applyAlignment="1">
      <alignment horizontal="center" vertical="center" wrapText="1"/>
    </xf>
    <xf numFmtId="0" fontId="17" fillId="2" borderId="25" xfId="0" applyFont="1" applyFill="1" applyBorder="1" applyAlignment="1">
      <alignment horizontal="center" vertical="center" wrapText="1"/>
    </xf>
    <xf numFmtId="0" fontId="17" fillId="2" borderId="43" xfId="0" applyFont="1" applyFill="1" applyBorder="1" applyAlignment="1">
      <alignment horizontal="center" vertical="center" wrapText="1"/>
    </xf>
    <xf numFmtId="0" fontId="17" fillId="2" borderId="4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7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3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99.14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19.21</v>
      </c>
      <c r="C20" s="10"/>
      <c r="D20" s="10"/>
      <c r="E20" s="10"/>
    </row>
    <row r="21" spans="1:6" ht="16.5" customHeight="1" x14ac:dyDescent="0.3">
      <c r="A21" s="7" t="s">
        <v>10</v>
      </c>
      <c r="B21" s="13">
        <f>19.21/25*5/25</f>
        <v>0.15368000000000001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30907788</v>
      </c>
      <c r="C24" s="18">
        <v>6626.46</v>
      </c>
      <c r="D24" s="19">
        <v>1.1499999999999999</v>
      </c>
      <c r="E24" s="20">
        <v>4.37</v>
      </c>
    </row>
    <row r="25" spans="1:6" ht="16.5" customHeight="1" x14ac:dyDescent="0.3">
      <c r="A25" s="17">
        <v>2</v>
      </c>
      <c r="B25" s="18">
        <v>30856593</v>
      </c>
      <c r="C25" s="18">
        <v>6643.98</v>
      </c>
      <c r="D25" s="19">
        <v>1.1499999999999999</v>
      </c>
      <c r="E25" s="19">
        <v>4.37</v>
      </c>
    </row>
    <row r="26" spans="1:6" ht="16.5" customHeight="1" x14ac:dyDescent="0.3">
      <c r="A26" s="17">
        <v>3</v>
      </c>
      <c r="B26" s="18">
        <v>30979649</v>
      </c>
      <c r="C26" s="18">
        <v>6713.99</v>
      </c>
      <c r="D26" s="19">
        <v>1.1499999999999999</v>
      </c>
      <c r="E26" s="19">
        <v>4.37</v>
      </c>
    </row>
    <row r="27" spans="1:6" ht="16.5" customHeight="1" x14ac:dyDescent="0.3">
      <c r="A27" s="17">
        <v>4</v>
      </c>
      <c r="B27" s="18">
        <v>30925767</v>
      </c>
      <c r="C27" s="18">
        <v>6792.44</v>
      </c>
      <c r="D27" s="19">
        <v>1.18</v>
      </c>
      <c r="E27" s="19">
        <v>4.37</v>
      </c>
    </row>
    <row r="28" spans="1:6" ht="16.5" customHeight="1" x14ac:dyDescent="0.3">
      <c r="A28" s="17">
        <v>5</v>
      </c>
      <c r="B28" s="18">
        <v>30877977</v>
      </c>
      <c r="C28" s="18">
        <v>6720.82</v>
      </c>
      <c r="D28" s="19">
        <v>1.19</v>
      </c>
      <c r="E28" s="19">
        <v>4.37</v>
      </c>
    </row>
    <row r="29" spans="1:6" ht="16.5" customHeight="1" x14ac:dyDescent="0.3">
      <c r="A29" s="17">
        <v>6</v>
      </c>
      <c r="B29" s="21">
        <v>30816700</v>
      </c>
      <c r="C29" s="21">
        <v>6717.66</v>
      </c>
      <c r="D29" s="22">
        <v>1.19</v>
      </c>
      <c r="E29" s="22">
        <v>4.3600000000000003</v>
      </c>
    </row>
    <row r="30" spans="1:6" ht="16.5" customHeight="1" x14ac:dyDescent="0.3">
      <c r="A30" s="23" t="s">
        <v>18</v>
      </c>
      <c r="B30" s="24">
        <f>AVERAGE(B24:B29)</f>
        <v>30894079</v>
      </c>
      <c r="C30" s="25">
        <f>AVERAGE(C24:C29)</f>
        <v>6702.5583333333343</v>
      </c>
      <c r="D30" s="26">
        <f>AVERAGE(D24:D29)</f>
        <v>1.1683333333333332</v>
      </c>
      <c r="E30" s="26">
        <f>AVERAGE(E24:E29)</f>
        <v>4.3683333333333332</v>
      </c>
    </row>
    <row r="31" spans="1:6" ht="16.5" customHeight="1" x14ac:dyDescent="0.3">
      <c r="A31" s="27" t="s">
        <v>19</v>
      </c>
      <c r="B31" s="28">
        <f>(STDEV(B24:B29)/B30)</f>
        <v>1.8405377458036252E-3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5</v>
      </c>
      <c r="C39" s="10"/>
      <c r="D39" s="10"/>
      <c r="E39" s="10"/>
    </row>
    <row r="40" spans="1:6" ht="16.5" customHeight="1" x14ac:dyDescent="0.3">
      <c r="A40" s="11" t="s">
        <v>6</v>
      </c>
      <c r="B40" s="12" t="s">
        <v>9</v>
      </c>
      <c r="C40" s="10"/>
      <c r="D40" s="10"/>
      <c r="E40" s="10"/>
    </row>
    <row r="41" spans="1:6" ht="16.5" customHeight="1" x14ac:dyDescent="0.3">
      <c r="A41" s="7" t="s">
        <v>8</v>
      </c>
      <c r="B41" s="12">
        <v>99.14</v>
      </c>
      <c r="C41" s="10"/>
      <c r="D41" s="10"/>
      <c r="E41" s="10"/>
    </row>
    <row r="42" spans="1:6" ht="16.5" customHeight="1" x14ac:dyDescent="0.3">
      <c r="A42" s="7" t="s">
        <v>10</v>
      </c>
      <c r="B42" s="12">
        <v>19.21</v>
      </c>
      <c r="C42" s="10"/>
      <c r="D42" s="10"/>
      <c r="E42" s="10"/>
    </row>
    <row r="43" spans="1:6" ht="15.75" customHeight="1" x14ac:dyDescent="0.3">
      <c r="A43" s="10"/>
      <c r="B43" s="13">
        <f>19.21/25*5/25</f>
        <v>0.15368000000000001</v>
      </c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30907788</v>
      </c>
      <c r="C45" s="18">
        <v>6626.46</v>
      </c>
      <c r="D45" s="19">
        <v>1.1499999999999999</v>
      </c>
      <c r="E45" s="20">
        <v>4.37</v>
      </c>
    </row>
    <row r="46" spans="1:6" ht="16.5" customHeight="1" x14ac:dyDescent="0.3">
      <c r="A46" s="17">
        <v>2</v>
      </c>
      <c r="B46" s="18">
        <v>30856593</v>
      </c>
      <c r="C46" s="18">
        <v>6643.98</v>
      </c>
      <c r="D46" s="19">
        <v>1.1499999999999999</v>
      </c>
      <c r="E46" s="19">
        <v>4.37</v>
      </c>
    </row>
    <row r="47" spans="1:6" ht="16.5" customHeight="1" x14ac:dyDescent="0.3">
      <c r="A47" s="17">
        <v>3</v>
      </c>
      <c r="B47" s="18">
        <v>30979649</v>
      </c>
      <c r="C47" s="18">
        <v>6713.99</v>
      </c>
      <c r="D47" s="19">
        <v>1.1499999999999999</v>
      </c>
      <c r="E47" s="19">
        <v>4.37</v>
      </c>
    </row>
    <row r="48" spans="1:6" ht="16.5" customHeight="1" x14ac:dyDescent="0.3">
      <c r="A48" s="17">
        <v>4</v>
      </c>
      <c r="B48" s="18">
        <v>30925767</v>
      </c>
      <c r="C48" s="18">
        <v>6792.44</v>
      </c>
      <c r="D48" s="19">
        <v>1.18</v>
      </c>
      <c r="E48" s="19">
        <v>4.37</v>
      </c>
    </row>
    <row r="49" spans="1:7" ht="16.5" customHeight="1" x14ac:dyDescent="0.3">
      <c r="A49" s="17">
        <v>5</v>
      </c>
      <c r="B49" s="18">
        <v>30877977</v>
      </c>
      <c r="C49" s="18">
        <v>6720.82</v>
      </c>
      <c r="D49" s="19">
        <v>1.19</v>
      </c>
      <c r="E49" s="19">
        <v>4.37</v>
      </c>
    </row>
    <row r="50" spans="1:7" ht="16.5" customHeight="1" x14ac:dyDescent="0.3">
      <c r="A50" s="17">
        <v>6</v>
      </c>
      <c r="B50" s="21">
        <v>30816700</v>
      </c>
      <c r="C50" s="21">
        <v>6717.66</v>
      </c>
      <c r="D50" s="22">
        <v>1.19</v>
      </c>
      <c r="E50" s="22">
        <v>4.3600000000000003</v>
      </c>
    </row>
    <row r="51" spans="1:7" ht="16.5" customHeight="1" x14ac:dyDescent="0.3">
      <c r="A51" s="23" t="s">
        <v>18</v>
      </c>
      <c r="B51" s="24">
        <v>30894079</v>
      </c>
      <c r="C51" s="25">
        <v>6702.5583333333343</v>
      </c>
      <c r="D51" s="26">
        <v>1.1683333333333332</v>
      </c>
      <c r="E51" s="26">
        <v>4.3683333333333332</v>
      </c>
    </row>
    <row r="52" spans="1:7" ht="16.5" customHeight="1" x14ac:dyDescent="0.3">
      <c r="A52" s="27" t="s">
        <v>19</v>
      </c>
      <c r="B52" s="28">
        <f>(STDEV(B45:B50)/B51)</f>
        <v>1.8405377458036252E-3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6" t="s">
        <v>26</v>
      </c>
      <c r="C59" s="46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147</v>
      </c>
      <c r="C60" s="48"/>
      <c r="E60" s="48" t="s">
        <v>148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0" t="s">
        <v>31</v>
      </c>
      <c r="B11" s="471"/>
      <c r="C11" s="471"/>
      <c r="D11" s="471"/>
      <c r="E11" s="471"/>
      <c r="F11" s="472"/>
      <c r="G11" s="91"/>
    </row>
    <row r="12" spans="1:7" ht="16.5" customHeight="1" x14ac:dyDescent="0.3">
      <c r="A12" s="469" t="s">
        <v>32</v>
      </c>
      <c r="B12" s="469"/>
      <c r="C12" s="469"/>
      <c r="D12" s="469"/>
      <c r="E12" s="469"/>
      <c r="F12" s="469"/>
      <c r="G12" s="90"/>
    </row>
    <row r="14" spans="1:7" ht="16.5" customHeight="1" x14ac:dyDescent="0.3">
      <c r="A14" s="474" t="s">
        <v>33</v>
      </c>
      <c r="B14" s="474"/>
      <c r="C14" s="60" t="s">
        <v>5</v>
      </c>
    </row>
    <row r="15" spans="1:7" ht="16.5" customHeight="1" x14ac:dyDescent="0.3">
      <c r="A15" s="474" t="s">
        <v>34</v>
      </c>
      <c r="B15" s="474"/>
      <c r="C15" s="60" t="s">
        <v>7</v>
      </c>
    </row>
    <row r="16" spans="1:7" ht="16.5" customHeight="1" x14ac:dyDescent="0.3">
      <c r="A16" s="474" t="s">
        <v>35</v>
      </c>
      <c r="B16" s="474"/>
      <c r="C16" s="60" t="s">
        <v>9</v>
      </c>
    </row>
    <row r="17" spans="1:5" ht="16.5" customHeight="1" x14ac:dyDescent="0.3">
      <c r="A17" s="474" t="s">
        <v>36</v>
      </c>
      <c r="B17" s="474"/>
      <c r="C17" s="60" t="s">
        <v>11</v>
      </c>
    </row>
    <row r="18" spans="1:5" ht="16.5" customHeight="1" x14ac:dyDescent="0.3">
      <c r="A18" s="474" t="s">
        <v>37</v>
      </c>
      <c r="B18" s="474"/>
      <c r="C18" s="97" t="s">
        <v>12</v>
      </c>
    </row>
    <row r="19" spans="1:5" ht="16.5" customHeight="1" x14ac:dyDescent="0.3">
      <c r="A19" s="474" t="s">
        <v>38</v>
      </c>
      <c r="B19" s="47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9" t="s">
        <v>1</v>
      </c>
      <c r="B21" s="469"/>
      <c r="C21" s="59" t="s">
        <v>39</v>
      </c>
      <c r="D21" s="66"/>
    </row>
    <row r="22" spans="1:5" ht="15.75" customHeight="1" x14ac:dyDescent="0.3">
      <c r="A22" s="473"/>
      <c r="B22" s="473"/>
      <c r="C22" s="57"/>
      <c r="D22" s="473"/>
      <c r="E22" s="47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135.49</v>
      </c>
      <c r="D24" s="87">
        <f t="shared" ref="D24:D43" si="0">(C24-$C$46)/$C$46</f>
        <v>1.0037758072512051E-2</v>
      </c>
      <c r="E24" s="53"/>
    </row>
    <row r="25" spans="1:5" ht="15.75" customHeight="1" x14ac:dyDescent="0.3">
      <c r="C25" s="95">
        <v>138.4</v>
      </c>
      <c r="D25" s="88">
        <f t="shared" si="0"/>
        <v>3.1730944846377326E-2</v>
      </c>
      <c r="E25" s="53"/>
    </row>
    <row r="26" spans="1:5" ht="15.75" customHeight="1" x14ac:dyDescent="0.3">
      <c r="C26" s="95">
        <v>132.06</v>
      </c>
      <c r="D26" s="88">
        <f t="shared" si="0"/>
        <v>-1.5531874447885934E-2</v>
      </c>
      <c r="E26" s="53"/>
    </row>
    <row r="27" spans="1:5" ht="15.75" customHeight="1" x14ac:dyDescent="0.3">
      <c r="C27" s="95">
        <v>135.85</v>
      </c>
      <c r="D27" s="88">
        <f t="shared" si="0"/>
        <v>1.2721451281649917E-2</v>
      </c>
      <c r="E27" s="53"/>
    </row>
    <row r="28" spans="1:5" ht="15.75" customHeight="1" x14ac:dyDescent="0.3">
      <c r="C28" s="95">
        <v>132.35</v>
      </c>
      <c r="D28" s="88">
        <f t="shared" si="0"/>
        <v>-1.337001047385818E-2</v>
      </c>
      <c r="E28" s="53"/>
    </row>
    <row r="29" spans="1:5" ht="15.75" customHeight="1" x14ac:dyDescent="0.3">
      <c r="C29" s="95">
        <v>134.9</v>
      </c>
      <c r="D29" s="88">
        <f t="shared" si="0"/>
        <v>5.6394830908692321E-3</v>
      </c>
      <c r="E29" s="53"/>
    </row>
    <row r="30" spans="1:5" ht="15.75" customHeight="1" x14ac:dyDescent="0.3">
      <c r="C30" s="95">
        <v>137.22999999999999</v>
      </c>
      <c r="D30" s="88">
        <f t="shared" si="0"/>
        <v>2.300894191667879E-2</v>
      </c>
      <c r="E30" s="53"/>
    </row>
    <row r="31" spans="1:5" ht="15.75" customHeight="1" x14ac:dyDescent="0.3">
      <c r="C31" s="95">
        <v>135.49</v>
      </c>
      <c r="D31" s="88">
        <f t="shared" si="0"/>
        <v>1.0037758072512051E-2</v>
      </c>
      <c r="E31" s="53"/>
    </row>
    <row r="32" spans="1:5" ht="15.75" customHeight="1" x14ac:dyDescent="0.3">
      <c r="C32" s="95">
        <v>130.94</v>
      </c>
      <c r="D32" s="88">
        <f t="shared" si="0"/>
        <v>-2.388114220964856E-2</v>
      </c>
      <c r="E32" s="53"/>
    </row>
    <row r="33" spans="1:7" ht="15.75" customHeight="1" x14ac:dyDescent="0.3">
      <c r="C33" s="95">
        <v>134.29</v>
      </c>
      <c r="D33" s="88">
        <f t="shared" si="0"/>
        <v>1.0921140420520055E-3</v>
      </c>
      <c r="E33" s="53"/>
    </row>
    <row r="34" spans="1:7" ht="15.75" customHeight="1" x14ac:dyDescent="0.3">
      <c r="C34" s="95">
        <v>132.85</v>
      </c>
      <c r="D34" s="88">
        <f t="shared" si="0"/>
        <v>-9.6426587944998792E-3</v>
      </c>
      <c r="E34" s="53"/>
    </row>
    <row r="35" spans="1:7" ht="15.75" customHeight="1" x14ac:dyDescent="0.3">
      <c r="C35" s="95">
        <v>133.6</v>
      </c>
      <c r="D35" s="88">
        <f t="shared" si="0"/>
        <v>-4.0516312754624306E-3</v>
      </c>
      <c r="E35" s="53"/>
    </row>
    <row r="36" spans="1:7" ht="15.75" customHeight="1" x14ac:dyDescent="0.3">
      <c r="C36" s="95">
        <v>135.96</v>
      </c>
      <c r="D36" s="88">
        <f t="shared" si="0"/>
        <v>1.3541468651108845E-2</v>
      </c>
      <c r="E36" s="53"/>
    </row>
    <row r="37" spans="1:7" ht="15.75" customHeight="1" x14ac:dyDescent="0.3">
      <c r="C37" s="95">
        <v>132.34</v>
      </c>
      <c r="D37" s="88">
        <f t="shared" si="0"/>
        <v>-1.3444557507445278E-2</v>
      </c>
      <c r="E37" s="53"/>
    </row>
    <row r="38" spans="1:7" ht="15.75" customHeight="1" x14ac:dyDescent="0.3">
      <c r="C38" s="95">
        <v>132.80000000000001</v>
      </c>
      <c r="D38" s="88">
        <f t="shared" si="0"/>
        <v>-1.0015393962435584E-2</v>
      </c>
      <c r="E38" s="53"/>
    </row>
    <row r="39" spans="1:7" ht="15.75" customHeight="1" x14ac:dyDescent="0.3">
      <c r="C39" s="95">
        <v>133.91</v>
      </c>
      <c r="D39" s="88">
        <f t="shared" si="0"/>
        <v>-1.7406732342602682E-3</v>
      </c>
      <c r="E39" s="53"/>
    </row>
    <row r="40" spans="1:7" ht="15.75" customHeight="1" x14ac:dyDescent="0.3">
      <c r="C40" s="95">
        <v>133.27000000000001</v>
      </c>
      <c r="D40" s="88">
        <f t="shared" si="0"/>
        <v>-6.5116833838387896E-3</v>
      </c>
      <c r="E40" s="53"/>
    </row>
    <row r="41" spans="1:7" ht="15.75" customHeight="1" x14ac:dyDescent="0.3">
      <c r="C41" s="95">
        <v>132.69</v>
      </c>
      <c r="D41" s="88">
        <f t="shared" si="0"/>
        <v>-1.083541133189451E-2</v>
      </c>
      <c r="E41" s="53"/>
    </row>
    <row r="42" spans="1:7" ht="15.75" customHeight="1" x14ac:dyDescent="0.3">
      <c r="C42" s="95">
        <v>133.86000000000001</v>
      </c>
      <c r="D42" s="88">
        <f t="shared" si="0"/>
        <v>-2.1134084021959712E-3</v>
      </c>
      <c r="E42" s="53"/>
    </row>
    <row r="43" spans="1:7" ht="16.5" customHeight="1" x14ac:dyDescent="0.3">
      <c r="C43" s="96">
        <v>134.59</v>
      </c>
      <c r="D43" s="89">
        <f t="shared" si="0"/>
        <v>3.3285250496670701E-3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2682.87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134.14349999999999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7">
        <f>C46</f>
        <v>134.14349999999999</v>
      </c>
      <c r="C49" s="93">
        <f>-IF(C46&lt;=80,10%,IF(C46&lt;250,7.5%,5%))</f>
        <v>-7.4999999999999997E-2</v>
      </c>
      <c r="D49" s="81">
        <f>IF(C46&lt;=80,C46*0.9,IF(C46&lt;250,C46*0.925,C46*0.95))</f>
        <v>124.08273749999999</v>
      </c>
    </row>
    <row r="50" spans="1:6" ht="17.25" customHeight="1" x14ac:dyDescent="0.3">
      <c r="B50" s="468"/>
      <c r="C50" s="94">
        <f>IF(C46&lt;=80, 10%, IF(C46&lt;250, 7.5%, 5%))</f>
        <v>7.4999999999999997E-2</v>
      </c>
      <c r="D50" s="81">
        <f>IF(C46&lt;=80, C46*1.1, IF(C46&lt;250, C46*1.075, C46*1.05))</f>
        <v>144.20426249999997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2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view="pageBreakPreview" zoomScale="60" zoomScaleNormal="70" workbookViewId="0">
      <selection sqref="A1:H134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89" t="s">
        <v>45</v>
      </c>
      <c r="B1" s="489"/>
      <c r="C1" s="489"/>
      <c r="D1" s="489"/>
      <c r="E1" s="489"/>
      <c r="F1" s="489"/>
      <c r="G1" s="489"/>
    </row>
    <row r="2" spans="1:7" x14ac:dyDescent="0.2">
      <c r="A2" s="489"/>
      <c r="B2" s="489"/>
      <c r="C2" s="489"/>
      <c r="D2" s="489"/>
      <c r="E2" s="489"/>
      <c r="F2" s="489"/>
      <c r="G2" s="489"/>
    </row>
    <row r="3" spans="1:7" x14ac:dyDescent="0.2">
      <c r="A3" s="489"/>
      <c r="B3" s="489"/>
      <c r="C3" s="489"/>
      <c r="D3" s="489"/>
      <c r="E3" s="489"/>
      <c r="F3" s="489"/>
      <c r="G3" s="489"/>
    </row>
    <row r="4" spans="1:7" x14ac:dyDescent="0.2">
      <c r="A4" s="489"/>
      <c r="B4" s="489"/>
      <c r="C4" s="489"/>
      <c r="D4" s="489"/>
      <c r="E4" s="489"/>
      <c r="F4" s="489"/>
      <c r="G4" s="489"/>
    </row>
    <row r="5" spans="1:7" x14ac:dyDescent="0.2">
      <c r="A5" s="489"/>
      <c r="B5" s="489"/>
      <c r="C5" s="489"/>
      <c r="D5" s="489"/>
      <c r="E5" s="489"/>
      <c r="F5" s="489"/>
      <c r="G5" s="489"/>
    </row>
    <row r="6" spans="1:7" x14ac:dyDescent="0.2">
      <c r="A6" s="489"/>
      <c r="B6" s="489"/>
      <c r="C6" s="489"/>
      <c r="D6" s="489"/>
      <c r="E6" s="489"/>
      <c r="F6" s="489"/>
      <c r="G6" s="489"/>
    </row>
    <row r="7" spans="1:7" x14ac:dyDescent="0.2">
      <c r="A7" s="489"/>
      <c r="B7" s="489"/>
      <c r="C7" s="489"/>
      <c r="D7" s="489"/>
      <c r="E7" s="489"/>
      <c r="F7" s="489"/>
      <c r="G7" s="489"/>
    </row>
    <row r="8" spans="1:7" x14ac:dyDescent="0.2">
      <c r="A8" s="490" t="s">
        <v>46</v>
      </c>
      <c r="B8" s="490"/>
      <c r="C8" s="490"/>
      <c r="D8" s="490"/>
      <c r="E8" s="490"/>
      <c r="F8" s="490"/>
      <c r="G8" s="490"/>
    </row>
    <row r="9" spans="1:7" x14ac:dyDescent="0.2">
      <c r="A9" s="490"/>
      <c r="B9" s="490"/>
      <c r="C9" s="490"/>
      <c r="D9" s="490"/>
      <c r="E9" s="490"/>
      <c r="F9" s="490"/>
      <c r="G9" s="490"/>
    </row>
    <row r="10" spans="1:7" x14ac:dyDescent="0.2">
      <c r="A10" s="490"/>
      <c r="B10" s="490"/>
      <c r="C10" s="490"/>
      <c r="D10" s="490"/>
      <c r="E10" s="490"/>
      <c r="F10" s="490"/>
      <c r="G10" s="490"/>
    </row>
    <row r="11" spans="1:7" x14ac:dyDescent="0.2">
      <c r="A11" s="490"/>
      <c r="B11" s="490"/>
      <c r="C11" s="490"/>
      <c r="D11" s="490"/>
      <c r="E11" s="490"/>
      <c r="F11" s="490"/>
      <c r="G11" s="490"/>
    </row>
    <row r="12" spans="1:7" x14ac:dyDescent="0.2">
      <c r="A12" s="490"/>
      <c r="B12" s="490"/>
      <c r="C12" s="490"/>
      <c r="D12" s="490"/>
      <c r="E12" s="490"/>
      <c r="F12" s="490"/>
      <c r="G12" s="490"/>
    </row>
    <row r="13" spans="1:7" x14ac:dyDescent="0.2">
      <c r="A13" s="490"/>
      <c r="B13" s="490"/>
      <c r="C13" s="490"/>
      <c r="D13" s="490"/>
      <c r="E13" s="490"/>
      <c r="F13" s="490"/>
      <c r="G13" s="490"/>
    </row>
    <row r="14" spans="1:7" x14ac:dyDescent="0.2">
      <c r="A14" s="490"/>
      <c r="B14" s="490"/>
      <c r="C14" s="490"/>
      <c r="D14" s="490"/>
      <c r="E14" s="490"/>
      <c r="F14" s="490"/>
      <c r="G14" s="490"/>
    </row>
    <row r="15" spans="1:7" ht="19.5" customHeight="1" x14ac:dyDescent="0.3">
      <c r="A15" s="98"/>
      <c r="B15" s="98"/>
      <c r="C15" s="98"/>
      <c r="D15" s="98"/>
      <c r="E15" s="98"/>
      <c r="F15" s="98"/>
      <c r="G15" s="98"/>
    </row>
    <row r="16" spans="1:7" ht="19.5" customHeight="1" x14ac:dyDescent="0.3">
      <c r="A16" s="475" t="s">
        <v>31</v>
      </c>
      <c r="B16" s="476"/>
      <c r="C16" s="476"/>
      <c r="D16" s="476"/>
      <c r="E16" s="476"/>
      <c r="F16" s="476"/>
      <c r="G16" s="476"/>
    </row>
    <row r="17" spans="1:7" ht="18.75" customHeight="1" x14ac:dyDescent="0.3">
      <c r="A17" s="99" t="s">
        <v>47</v>
      </c>
      <c r="B17" s="99"/>
      <c r="C17" s="98"/>
      <c r="D17" s="98"/>
      <c r="E17" s="98"/>
      <c r="F17" s="98"/>
      <c r="G17" s="98"/>
    </row>
    <row r="18" spans="1:7" ht="26.25" customHeight="1" x14ac:dyDescent="0.4">
      <c r="A18" s="100" t="s">
        <v>33</v>
      </c>
      <c r="B18" s="477" t="s">
        <v>5</v>
      </c>
      <c r="C18" s="477"/>
      <c r="D18" s="101"/>
      <c r="E18" s="101"/>
      <c r="F18" s="98"/>
      <c r="G18" s="98"/>
    </row>
    <row r="19" spans="1:7" ht="26.25" customHeight="1" x14ac:dyDescent="0.4">
      <c r="A19" s="100" t="s">
        <v>34</v>
      </c>
      <c r="B19" s="275" t="s">
        <v>7</v>
      </c>
      <c r="C19" s="98">
        <v>36</v>
      </c>
      <c r="E19" s="98"/>
      <c r="F19" s="98"/>
      <c r="G19" s="98"/>
    </row>
    <row r="20" spans="1:7" ht="26.25" customHeight="1" x14ac:dyDescent="0.4">
      <c r="A20" s="100" t="s">
        <v>35</v>
      </c>
      <c r="B20" s="478" t="s">
        <v>9</v>
      </c>
      <c r="C20" s="478"/>
      <c r="D20" s="98"/>
      <c r="E20" s="98"/>
      <c r="F20" s="98"/>
      <c r="G20" s="98"/>
    </row>
    <row r="21" spans="1:7" ht="26.25" customHeight="1" x14ac:dyDescent="0.4">
      <c r="A21" s="100" t="s">
        <v>36</v>
      </c>
      <c r="B21" s="102" t="s">
        <v>11</v>
      </c>
      <c r="C21" s="102"/>
      <c r="D21" s="103"/>
      <c r="E21" s="103"/>
      <c r="F21" s="103"/>
      <c r="G21" s="103"/>
    </row>
    <row r="22" spans="1:7" ht="26.25" customHeight="1" x14ac:dyDescent="0.4">
      <c r="A22" s="100" t="s">
        <v>37</v>
      </c>
      <c r="B22" s="104">
        <v>42548</v>
      </c>
      <c r="C22" s="105"/>
      <c r="D22" s="98"/>
      <c r="E22" s="98"/>
      <c r="F22" s="98"/>
      <c r="G22" s="98"/>
    </row>
    <row r="23" spans="1:7" ht="26.25" customHeight="1" x14ac:dyDescent="0.4">
      <c r="A23" s="100" t="s">
        <v>38</v>
      </c>
      <c r="B23" s="464">
        <v>42548</v>
      </c>
      <c r="C23" s="105"/>
      <c r="D23" s="98"/>
      <c r="E23" s="98"/>
      <c r="F23" s="98"/>
      <c r="G23" s="98"/>
    </row>
    <row r="24" spans="1:7" ht="18.75" customHeight="1" x14ac:dyDescent="0.3">
      <c r="A24" s="100"/>
      <c r="B24" s="106"/>
      <c r="C24" s="98"/>
      <c r="D24" s="98"/>
      <c r="E24" s="98"/>
      <c r="F24" s="98"/>
      <c r="G24" s="98"/>
    </row>
    <row r="25" spans="1:7" ht="18.75" customHeight="1" x14ac:dyDescent="0.3">
      <c r="A25" s="107" t="s">
        <v>1</v>
      </c>
      <c r="B25" s="106"/>
      <c r="C25" s="98"/>
      <c r="D25" s="98"/>
      <c r="E25" s="98"/>
      <c r="F25" s="98"/>
      <c r="G25" s="98"/>
    </row>
    <row r="26" spans="1:7" ht="26.25" customHeight="1" x14ac:dyDescent="0.4">
      <c r="A26" s="108" t="s">
        <v>4</v>
      </c>
      <c r="B26" s="477" t="s">
        <v>145</v>
      </c>
      <c r="C26" s="477"/>
      <c r="D26" s="98"/>
      <c r="E26" s="98"/>
      <c r="F26" s="98"/>
      <c r="G26" s="98"/>
    </row>
    <row r="27" spans="1:7" ht="26.25" customHeight="1" x14ac:dyDescent="0.4">
      <c r="A27" s="109" t="s">
        <v>48</v>
      </c>
      <c r="B27" s="478" t="s">
        <v>146</v>
      </c>
      <c r="C27" s="478"/>
      <c r="D27" s="98"/>
      <c r="E27" s="98"/>
      <c r="F27" s="98"/>
      <c r="G27" s="98"/>
    </row>
    <row r="28" spans="1:7" ht="27" customHeight="1" x14ac:dyDescent="0.4">
      <c r="A28" s="109" t="s">
        <v>6</v>
      </c>
      <c r="B28" s="110">
        <v>99.14</v>
      </c>
      <c r="C28" s="98"/>
      <c r="D28" s="98"/>
      <c r="E28" s="98"/>
      <c r="F28" s="98"/>
      <c r="G28" s="98"/>
    </row>
    <row r="29" spans="1:7" ht="27" customHeight="1" x14ac:dyDescent="0.4">
      <c r="A29" s="109" t="s">
        <v>49</v>
      </c>
      <c r="B29" s="111">
        <v>0</v>
      </c>
      <c r="C29" s="479" t="s">
        <v>50</v>
      </c>
      <c r="D29" s="480"/>
      <c r="E29" s="480"/>
      <c r="F29" s="480"/>
      <c r="G29" s="481"/>
    </row>
    <row r="30" spans="1:7" ht="19.5" customHeight="1" x14ac:dyDescent="0.3">
      <c r="A30" s="109" t="s">
        <v>51</v>
      </c>
      <c r="B30" s="113">
        <f>B28-B29</f>
        <v>99.14</v>
      </c>
      <c r="C30" s="114"/>
      <c r="D30" s="114"/>
      <c r="E30" s="114"/>
      <c r="F30" s="114"/>
      <c r="G30" s="114"/>
    </row>
    <row r="31" spans="1:7" ht="27" customHeight="1" x14ac:dyDescent="0.4">
      <c r="A31" s="109" t="s">
        <v>52</v>
      </c>
      <c r="B31" s="115">
        <v>321.82</v>
      </c>
      <c r="C31" s="479" t="s">
        <v>53</v>
      </c>
      <c r="D31" s="480"/>
      <c r="E31" s="480"/>
      <c r="F31" s="480"/>
      <c r="G31" s="481"/>
    </row>
    <row r="32" spans="1:7" ht="27" customHeight="1" x14ac:dyDescent="0.4">
      <c r="A32" s="109" t="s">
        <v>54</v>
      </c>
      <c r="B32" s="115">
        <v>419.9</v>
      </c>
      <c r="C32" s="479" t="s">
        <v>55</v>
      </c>
      <c r="D32" s="480"/>
      <c r="E32" s="480"/>
      <c r="F32" s="480"/>
      <c r="G32" s="481"/>
    </row>
    <row r="33" spans="1:7" ht="18.75" customHeight="1" x14ac:dyDescent="0.3">
      <c r="A33" s="109"/>
      <c r="B33" s="116"/>
      <c r="C33" s="117"/>
      <c r="D33" s="117"/>
      <c r="E33" s="117"/>
      <c r="F33" s="117"/>
      <c r="G33" s="117"/>
    </row>
    <row r="34" spans="1:7" ht="18.75" customHeight="1" x14ac:dyDescent="0.3">
      <c r="A34" s="109" t="s">
        <v>56</v>
      </c>
      <c r="B34" s="118">
        <f>B31/B32</f>
        <v>0.76642057632769711</v>
      </c>
      <c r="C34" s="98" t="s">
        <v>57</v>
      </c>
      <c r="D34" s="98"/>
      <c r="E34" s="98"/>
      <c r="F34" s="98"/>
      <c r="G34" s="98"/>
    </row>
    <row r="35" spans="1:7" ht="19.5" customHeight="1" x14ac:dyDescent="0.3">
      <c r="A35" s="109"/>
      <c r="B35" s="113"/>
      <c r="C35" s="112"/>
      <c r="D35" s="112"/>
      <c r="E35" s="112"/>
      <c r="F35" s="112"/>
      <c r="G35" s="98"/>
    </row>
    <row r="36" spans="1:7" ht="27" customHeight="1" x14ac:dyDescent="0.4">
      <c r="A36" s="119" t="s">
        <v>58</v>
      </c>
      <c r="B36" s="120">
        <v>25</v>
      </c>
      <c r="C36" s="98"/>
      <c r="D36" s="482" t="s">
        <v>59</v>
      </c>
      <c r="E36" s="483"/>
      <c r="F36" s="482" t="s">
        <v>60</v>
      </c>
      <c r="G36" s="484"/>
    </row>
    <row r="37" spans="1:7" ht="26.25" customHeight="1" x14ac:dyDescent="0.4">
      <c r="A37" s="121" t="s">
        <v>61</v>
      </c>
      <c r="B37" s="122">
        <v>5</v>
      </c>
      <c r="C37" s="123" t="s">
        <v>62</v>
      </c>
      <c r="D37" s="124" t="s">
        <v>63</v>
      </c>
      <c r="E37" s="125" t="s">
        <v>64</v>
      </c>
      <c r="F37" s="124" t="s">
        <v>63</v>
      </c>
      <c r="G37" s="126" t="s">
        <v>64</v>
      </c>
    </row>
    <row r="38" spans="1:7" ht="26.25" customHeight="1" x14ac:dyDescent="0.4">
      <c r="A38" s="121" t="s">
        <v>65</v>
      </c>
      <c r="B38" s="122">
        <v>25</v>
      </c>
      <c r="C38" s="127">
        <v>1</v>
      </c>
      <c r="D38" s="128">
        <v>30896733</v>
      </c>
      <c r="E38" s="129">
        <f>IF(ISBLANK(D38),"-",$D$48/$D$45*D38)</f>
        <v>34397152.342406228</v>
      </c>
      <c r="F38" s="128">
        <v>29428224</v>
      </c>
      <c r="G38" s="130">
        <f>IF(ISBLANK(F38),"-",$D$48/$F$45*F38)</f>
        <v>34829175.642443165</v>
      </c>
    </row>
    <row r="39" spans="1:7" ht="26.25" customHeight="1" x14ac:dyDescent="0.4">
      <c r="A39" s="121" t="s">
        <v>66</v>
      </c>
      <c r="B39" s="122">
        <v>1</v>
      </c>
      <c r="C39" s="131">
        <v>2</v>
      </c>
      <c r="D39" s="132">
        <v>30906089</v>
      </c>
      <c r="E39" s="133">
        <f>IF(ISBLANK(D39),"-",$D$48/$D$45*D39)</f>
        <v>34407568.322546124</v>
      </c>
      <c r="F39" s="132">
        <v>29275696</v>
      </c>
      <c r="G39" s="134">
        <f>IF(ISBLANK(F39),"-",$D$48/$F$45*F39)</f>
        <v>34648654.232031494</v>
      </c>
    </row>
    <row r="40" spans="1:7" ht="26.25" customHeight="1" x14ac:dyDescent="0.4">
      <c r="A40" s="121" t="s">
        <v>67</v>
      </c>
      <c r="B40" s="122">
        <v>1</v>
      </c>
      <c r="C40" s="131">
        <v>3</v>
      </c>
      <c r="D40" s="132">
        <v>30760893</v>
      </c>
      <c r="E40" s="133">
        <f>IF(ISBLANK(D40),"-",$D$48/$D$45*D40)</f>
        <v>34245922.464017712</v>
      </c>
      <c r="F40" s="132">
        <v>29256850</v>
      </c>
      <c r="G40" s="134">
        <f>IF(ISBLANK(F40),"-",$D$48/$F$45*F40)</f>
        <v>34626349.432252973</v>
      </c>
    </row>
    <row r="41" spans="1:7" ht="26.25" customHeight="1" x14ac:dyDescent="0.4">
      <c r="A41" s="121" t="s">
        <v>68</v>
      </c>
      <c r="B41" s="122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</row>
    <row r="42" spans="1:7" ht="27" customHeight="1" x14ac:dyDescent="0.4">
      <c r="A42" s="121" t="s">
        <v>69</v>
      </c>
      <c r="B42" s="122">
        <v>1</v>
      </c>
      <c r="C42" s="139" t="s">
        <v>70</v>
      </c>
      <c r="D42" s="140">
        <f>AVERAGE(D38:D41)</f>
        <v>30854571.666666668</v>
      </c>
      <c r="E42" s="141">
        <f>AVERAGE(E38:E41)</f>
        <v>34350214.37632335</v>
      </c>
      <c r="F42" s="140">
        <f>AVERAGE(F38:F41)</f>
        <v>29320256.666666668</v>
      </c>
      <c r="G42" s="142">
        <f>AVERAGE(G38:G41)</f>
        <v>34701393.102242544</v>
      </c>
    </row>
    <row r="43" spans="1:7" ht="26.25" customHeight="1" x14ac:dyDescent="0.4">
      <c r="A43" s="121" t="s">
        <v>71</v>
      </c>
      <c r="B43" s="122">
        <v>1</v>
      </c>
      <c r="C43" s="143" t="s">
        <v>72</v>
      </c>
      <c r="D43" s="144">
        <v>19.21</v>
      </c>
      <c r="E43" s="145"/>
      <c r="F43" s="144">
        <v>18.07</v>
      </c>
      <c r="G43" s="98"/>
    </row>
    <row r="44" spans="1:7" ht="26.25" customHeight="1" x14ac:dyDescent="0.4">
      <c r="A44" s="121" t="s">
        <v>73</v>
      </c>
      <c r="B44" s="122">
        <v>1</v>
      </c>
      <c r="C44" s="146" t="s">
        <v>74</v>
      </c>
      <c r="D44" s="147">
        <f>D43*$B$34</f>
        <v>14.722939271255061</v>
      </c>
      <c r="E44" s="148"/>
      <c r="F44" s="147">
        <f>F43*$B$34</f>
        <v>13.849219814241486</v>
      </c>
      <c r="G44" s="98"/>
    </row>
    <row r="45" spans="1:7" ht="19.5" customHeight="1" x14ac:dyDescent="0.3">
      <c r="A45" s="121" t="s">
        <v>75</v>
      </c>
      <c r="B45" s="149">
        <f>(B44/B43)*(B42/B41)*(B40/B39)*(B38/B37)*B36</f>
        <v>125</v>
      </c>
      <c r="C45" s="146" t="s">
        <v>76</v>
      </c>
      <c r="D45" s="150">
        <f>D44*$B$30/100</f>
        <v>14.596321993522267</v>
      </c>
      <c r="E45" s="151"/>
      <c r="F45" s="150">
        <f>F44*$B$30/100</f>
        <v>13.73011652383901</v>
      </c>
      <c r="G45" s="98"/>
    </row>
    <row r="46" spans="1:7" ht="19.5" customHeight="1" x14ac:dyDescent="0.3">
      <c r="A46" s="485" t="s">
        <v>77</v>
      </c>
      <c r="B46" s="486"/>
      <c r="C46" s="146" t="s">
        <v>78</v>
      </c>
      <c r="D46" s="147">
        <f>D45/$B$45</f>
        <v>0.11677057594817813</v>
      </c>
      <c r="E46" s="151"/>
      <c r="F46" s="152">
        <f>F45/$B$45</f>
        <v>0.10984093219071209</v>
      </c>
      <c r="G46" s="98"/>
    </row>
    <row r="47" spans="1:7" ht="27" customHeight="1" x14ac:dyDescent="0.4">
      <c r="A47" s="487"/>
      <c r="B47" s="488"/>
      <c r="C47" s="153" t="s">
        <v>79</v>
      </c>
      <c r="D47" s="154">
        <v>0.13</v>
      </c>
      <c r="E47" s="98"/>
      <c r="F47" s="155"/>
      <c r="G47" s="98"/>
    </row>
    <row r="48" spans="1:7" ht="18.75" customHeight="1" x14ac:dyDescent="0.3">
      <c r="A48" s="98"/>
      <c r="B48" s="98"/>
      <c r="C48" s="156" t="s">
        <v>80</v>
      </c>
      <c r="D48" s="150">
        <f>D47*$B$45</f>
        <v>16.25</v>
      </c>
      <c r="E48" s="98"/>
      <c r="F48" s="155"/>
      <c r="G48" s="98"/>
    </row>
    <row r="49" spans="1:7" ht="19.5" customHeight="1" x14ac:dyDescent="0.3">
      <c r="A49" s="98"/>
      <c r="B49" s="98"/>
      <c r="C49" s="157" t="s">
        <v>81</v>
      </c>
      <c r="D49" s="158">
        <f>D48/B34</f>
        <v>21.202457895718101</v>
      </c>
      <c r="E49" s="98"/>
      <c r="F49" s="155"/>
      <c r="G49" s="98"/>
    </row>
    <row r="50" spans="1:7" ht="18.75" customHeight="1" x14ac:dyDescent="0.3">
      <c r="A50" s="98"/>
      <c r="B50" s="98"/>
      <c r="C50" s="119" t="s">
        <v>82</v>
      </c>
      <c r="D50" s="159">
        <f>AVERAGE(E38:E41,G38:G41)</f>
        <v>34525803.739282943</v>
      </c>
      <c r="E50" s="98"/>
      <c r="F50" s="160"/>
      <c r="G50" s="98"/>
    </row>
    <row r="51" spans="1:7" ht="18.75" customHeight="1" x14ac:dyDescent="0.3">
      <c r="A51" s="98"/>
      <c r="B51" s="98"/>
      <c r="C51" s="121" t="s">
        <v>83</v>
      </c>
      <c r="D51" s="161">
        <f>STDEV(E38:E41,G38:G41)/D50</f>
        <v>6.1591669558450661E-3</v>
      </c>
      <c r="E51" s="98"/>
      <c r="F51" s="160"/>
      <c r="G51" s="98"/>
    </row>
    <row r="52" spans="1:7" ht="19.5" customHeight="1" x14ac:dyDescent="0.3">
      <c r="A52" s="98"/>
      <c r="B52" s="98"/>
      <c r="C52" s="162" t="s">
        <v>20</v>
      </c>
      <c r="D52" s="163">
        <f>COUNT(E38:E41,G38:G41)</f>
        <v>6</v>
      </c>
      <c r="E52" s="98"/>
      <c r="F52" s="160"/>
      <c r="G52" s="98"/>
    </row>
    <row r="53" spans="1:7" ht="18.75" customHeight="1" x14ac:dyDescent="0.3">
      <c r="A53" s="98"/>
      <c r="B53" s="98"/>
      <c r="C53" s="98"/>
      <c r="D53" s="98"/>
      <c r="E53" s="98"/>
      <c r="F53" s="98"/>
      <c r="G53" s="98"/>
    </row>
    <row r="54" spans="1:7" ht="18.75" customHeight="1" x14ac:dyDescent="0.3">
      <c r="A54" s="99" t="s">
        <v>1</v>
      </c>
      <c r="B54" s="164" t="s">
        <v>84</v>
      </c>
      <c r="C54" s="98"/>
      <c r="D54" s="98"/>
      <c r="E54" s="98"/>
      <c r="F54" s="98"/>
      <c r="G54" s="98"/>
    </row>
    <row r="55" spans="1:7" ht="18.75" customHeight="1" x14ac:dyDescent="0.3">
      <c r="A55" s="98" t="s">
        <v>85</v>
      </c>
      <c r="B55" s="165" t="str">
        <f>B21</f>
        <v>Each tablet contains Clopidrogel 75 mg</v>
      </c>
      <c r="C55" s="98"/>
      <c r="D55" s="98"/>
      <c r="E55" s="98"/>
      <c r="F55" s="98"/>
      <c r="G55" s="98"/>
    </row>
    <row r="56" spans="1:7" ht="26.25" customHeight="1" x14ac:dyDescent="0.4">
      <c r="A56" s="166" t="s">
        <v>86</v>
      </c>
      <c r="B56" s="167">
        <v>75</v>
      </c>
      <c r="C56" s="98" t="str">
        <f>B20</f>
        <v>Clopidrogel</v>
      </c>
      <c r="D56" s="98"/>
      <c r="E56" s="98"/>
      <c r="F56" s="98"/>
      <c r="G56" s="98"/>
    </row>
    <row r="57" spans="1:7" ht="17.25" customHeight="1" x14ac:dyDescent="0.3">
      <c r="A57" s="168" t="s">
        <v>87</v>
      </c>
      <c r="B57" s="168">
        <f>Uniformity!C46</f>
        <v>134.14349999999999</v>
      </c>
      <c r="C57" s="168"/>
      <c r="D57" s="169"/>
      <c r="E57" s="169"/>
      <c r="F57" s="169"/>
      <c r="G57" s="169"/>
    </row>
    <row r="58" spans="1:7" ht="57.75" customHeight="1" x14ac:dyDescent="0.4">
      <c r="A58" s="119" t="s">
        <v>88</v>
      </c>
      <c r="B58" s="120">
        <v>50</v>
      </c>
      <c r="C58" s="170" t="s">
        <v>89</v>
      </c>
      <c r="D58" s="171" t="s">
        <v>90</v>
      </c>
      <c r="E58" s="172" t="s">
        <v>91</v>
      </c>
      <c r="F58" s="173" t="s">
        <v>92</v>
      </c>
      <c r="G58" s="174" t="s">
        <v>93</v>
      </c>
    </row>
    <row r="59" spans="1:7" ht="26.25" customHeight="1" x14ac:dyDescent="0.4">
      <c r="A59" s="121" t="s">
        <v>61</v>
      </c>
      <c r="B59" s="122">
        <v>4</v>
      </c>
      <c r="C59" s="175">
        <v>1</v>
      </c>
      <c r="D59" s="278">
        <v>32729340</v>
      </c>
      <c r="E59" s="176">
        <f t="shared" ref="E59:E68" si="0">IF(ISBLANK(D59),"-",D59/$D$50*$D$47*$B$67)</f>
        <v>77.022359713362306</v>
      </c>
      <c r="F59" s="177">
        <f t="shared" ref="F59:F68" si="1">IF(ISBLANK(D59),"-",E59/$E$70*100)</f>
        <v>99.551851293581493</v>
      </c>
      <c r="G59" s="178">
        <f t="shared" ref="G59:G68" si="2">IF(ISBLANK(D59),"-",E59/$B$56*100)</f>
        <v>102.69647961781641</v>
      </c>
    </row>
    <row r="60" spans="1:7" ht="26.25" customHeight="1" x14ac:dyDescent="0.4">
      <c r="A60" s="121" t="s">
        <v>65</v>
      </c>
      <c r="B60" s="122">
        <v>50</v>
      </c>
      <c r="C60" s="179">
        <v>2</v>
      </c>
      <c r="D60" s="279">
        <v>33055885</v>
      </c>
      <c r="E60" s="180">
        <f t="shared" si="0"/>
        <v>77.790822091540406</v>
      </c>
      <c r="F60" s="181">
        <f t="shared" si="1"/>
        <v>100.54509342069626</v>
      </c>
      <c r="G60" s="182">
        <f t="shared" si="2"/>
        <v>103.72109612205386</v>
      </c>
    </row>
    <row r="61" spans="1:7" ht="26.25" customHeight="1" x14ac:dyDescent="0.4">
      <c r="A61" s="121" t="s">
        <v>66</v>
      </c>
      <c r="B61" s="122">
        <v>1</v>
      </c>
      <c r="C61" s="179">
        <v>3</v>
      </c>
      <c r="D61" s="279">
        <v>33319620</v>
      </c>
      <c r="E61" s="180">
        <f t="shared" si="0"/>
        <v>78.41147292162141</v>
      </c>
      <c r="F61" s="181">
        <f t="shared" si="1"/>
        <v>101.34728825569483</v>
      </c>
      <c r="G61" s="182">
        <f t="shared" si="2"/>
        <v>104.54863056216188</v>
      </c>
    </row>
    <row r="62" spans="1:7" ht="26.25" customHeight="1" x14ac:dyDescent="0.4">
      <c r="A62" s="121" t="s">
        <v>67</v>
      </c>
      <c r="B62" s="122">
        <v>1</v>
      </c>
      <c r="C62" s="179">
        <v>4</v>
      </c>
      <c r="D62" s="279">
        <v>32914522</v>
      </c>
      <c r="E62" s="180">
        <f t="shared" si="0"/>
        <v>77.458150799172159</v>
      </c>
      <c r="F62" s="181">
        <f t="shared" si="1"/>
        <v>100.11511382580022</v>
      </c>
      <c r="G62" s="182">
        <f t="shared" si="2"/>
        <v>103.27753439889622</v>
      </c>
    </row>
    <row r="63" spans="1:7" ht="26.25" customHeight="1" x14ac:dyDescent="0.4">
      <c r="A63" s="121" t="s">
        <v>68</v>
      </c>
      <c r="B63" s="122">
        <v>1</v>
      </c>
      <c r="C63" s="179">
        <v>5</v>
      </c>
      <c r="D63" s="279">
        <v>32986585</v>
      </c>
      <c r="E63" s="180">
        <f t="shared" si="0"/>
        <v>77.627737546354481</v>
      </c>
      <c r="F63" s="181">
        <f t="shared" si="1"/>
        <v>100.33430569034041</v>
      </c>
      <c r="G63" s="182">
        <f t="shared" si="2"/>
        <v>103.50365006180597</v>
      </c>
    </row>
    <row r="64" spans="1:7" ht="26.25" customHeight="1" x14ac:dyDescent="0.4">
      <c r="A64" s="121" t="s">
        <v>69</v>
      </c>
      <c r="B64" s="122">
        <v>1</v>
      </c>
      <c r="C64" s="179">
        <v>6</v>
      </c>
      <c r="D64" s="279">
        <v>32636723</v>
      </c>
      <c r="E64" s="180">
        <f t="shared" si="0"/>
        <v>76.804402984336519</v>
      </c>
      <c r="F64" s="181">
        <f t="shared" si="1"/>
        <v>99.270140944052358</v>
      </c>
      <c r="G64" s="182">
        <f t="shared" si="2"/>
        <v>102.40587064578202</v>
      </c>
    </row>
    <row r="65" spans="1:7" ht="26.25" customHeight="1" x14ac:dyDescent="0.4">
      <c r="A65" s="121" t="s">
        <v>71</v>
      </c>
      <c r="B65" s="122">
        <v>1</v>
      </c>
      <c r="C65" s="179">
        <v>7</v>
      </c>
      <c r="D65" s="279">
        <v>32365335</v>
      </c>
      <c r="E65" s="180">
        <f t="shared" si="0"/>
        <v>76.165742254914861</v>
      </c>
      <c r="F65" s="181">
        <f t="shared" si="1"/>
        <v>98.444668208614914</v>
      </c>
      <c r="G65" s="182">
        <f t="shared" si="2"/>
        <v>101.55432300655313</v>
      </c>
    </row>
    <row r="66" spans="1:7" ht="26.25" customHeight="1" x14ac:dyDescent="0.4">
      <c r="A66" s="121" t="s">
        <v>73</v>
      </c>
      <c r="B66" s="122">
        <v>1</v>
      </c>
      <c r="C66" s="179">
        <v>8</v>
      </c>
      <c r="D66" s="279">
        <v>32987822</v>
      </c>
      <c r="E66" s="180">
        <f t="shared" si="0"/>
        <v>77.630648593719485</v>
      </c>
      <c r="F66" s="181">
        <f t="shared" si="1"/>
        <v>100.33806823611893</v>
      </c>
      <c r="G66" s="182">
        <f t="shared" si="2"/>
        <v>103.50753145829266</v>
      </c>
    </row>
    <row r="67" spans="1:7" ht="27" customHeight="1" x14ac:dyDescent="0.4">
      <c r="A67" s="121" t="s">
        <v>75</v>
      </c>
      <c r="B67" s="149">
        <f>(B66/B65)*(B64/B63)*(B62/B61)*(B60/B59)*B58</f>
        <v>625</v>
      </c>
      <c r="C67" s="179">
        <v>9</v>
      </c>
      <c r="D67" s="279">
        <v>32439513</v>
      </c>
      <c r="E67" s="180">
        <f t="shared" si="0"/>
        <v>76.340306257696994</v>
      </c>
      <c r="F67" s="181">
        <f t="shared" si="1"/>
        <v>98.670293205185416</v>
      </c>
      <c r="G67" s="182">
        <f t="shared" si="2"/>
        <v>101.78707501026265</v>
      </c>
    </row>
    <row r="68" spans="1:7" ht="27" customHeight="1" x14ac:dyDescent="0.4">
      <c r="A68" s="485" t="s">
        <v>77</v>
      </c>
      <c r="B68" s="493"/>
      <c r="C68" s="183">
        <v>10</v>
      </c>
      <c r="D68" s="280">
        <v>33331419</v>
      </c>
      <c r="E68" s="184">
        <f t="shared" si="0"/>
        <v>78.439239653925156</v>
      </c>
      <c r="F68" s="185">
        <f t="shared" si="1"/>
        <v>101.38317691991519</v>
      </c>
      <c r="G68" s="186">
        <f t="shared" si="2"/>
        <v>104.58565287190021</v>
      </c>
    </row>
    <row r="69" spans="1:7" ht="19.5" customHeight="1" x14ac:dyDescent="0.3">
      <c r="A69" s="487"/>
      <c r="B69" s="494"/>
      <c r="C69" s="179"/>
      <c r="D69" s="151"/>
      <c r="E69" s="187"/>
      <c r="F69" s="169"/>
      <c r="G69" s="188"/>
    </row>
    <row r="70" spans="1:7" ht="26.25" customHeight="1" x14ac:dyDescent="0.4">
      <c r="A70" s="169"/>
      <c r="B70" s="169"/>
      <c r="C70" s="189" t="s">
        <v>94</v>
      </c>
      <c r="D70" s="190"/>
      <c r="E70" s="191">
        <f>AVERAGE(E59:E68)</f>
        <v>77.369088281664375</v>
      </c>
      <c r="F70" s="191">
        <f>AVERAGE(F59:F68)</f>
        <v>100</v>
      </c>
      <c r="G70" s="192">
        <f>AVERAGE(G59:G68)</f>
        <v>103.1587843755525</v>
      </c>
    </row>
    <row r="71" spans="1:7" ht="26.25" customHeight="1" x14ac:dyDescent="0.4">
      <c r="A71" s="169"/>
      <c r="B71" s="169"/>
      <c r="C71" s="189"/>
      <c r="D71" s="190"/>
      <c r="E71" s="193">
        <f>STDEV(E59:E68)/E70</f>
        <v>1.0102530562435598E-2</v>
      </c>
      <c r="F71" s="193">
        <f>STDEV(F59:F68)/F70</f>
        <v>1.0102530562435628E-2</v>
      </c>
      <c r="G71" s="194">
        <f>STDEV(G59:G68)/G70</f>
        <v>1.0102530562435628E-2</v>
      </c>
    </row>
    <row r="72" spans="1:7" ht="27" customHeight="1" x14ac:dyDescent="0.4">
      <c r="A72" s="169"/>
      <c r="B72" s="169"/>
      <c r="C72" s="195"/>
      <c r="D72" s="196"/>
      <c r="E72" s="197">
        <f>COUNT(E59:E68)</f>
        <v>10</v>
      </c>
      <c r="F72" s="197">
        <f>COUNT(F59:F68)</f>
        <v>10</v>
      </c>
      <c r="G72" s="198">
        <f>COUNT(G59:G68)</f>
        <v>10</v>
      </c>
    </row>
    <row r="73" spans="1:7" ht="18.75" customHeight="1" x14ac:dyDescent="0.3">
      <c r="A73" s="169"/>
      <c r="B73" s="199"/>
      <c r="C73" s="199"/>
      <c r="D73" s="148"/>
      <c r="E73" s="190"/>
      <c r="F73" s="145"/>
      <c r="G73" s="200"/>
    </row>
    <row r="74" spans="1:7" ht="18.75" customHeight="1" x14ac:dyDescent="0.3">
      <c r="A74" s="108" t="s">
        <v>95</v>
      </c>
      <c r="B74" s="201" t="s">
        <v>96</v>
      </c>
      <c r="C74" s="492" t="str">
        <f>B20</f>
        <v>Clopidrogel</v>
      </c>
      <c r="D74" s="492"/>
      <c r="E74" s="202" t="s">
        <v>97</v>
      </c>
      <c r="F74" s="202"/>
      <c r="G74" s="203">
        <f>G70</f>
        <v>103.1587843755525</v>
      </c>
    </row>
    <row r="75" spans="1:7" ht="18.75" customHeight="1" x14ac:dyDescent="0.3">
      <c r="A75" s="108"/>
      <c r="B75" s="201"/>
      <c r="C75" s="204"/>
      <c r="D75" s="204"/>
      <c r="E75" s="202"/>
      <c r="F75" s="202"/>
      <c r="G75" s="205"/>
    </row>
    <row r="76" spans="1:7" ht="18.75" customHeight="1" x14ac:dyDescent="0.3">
      <c r="A76" s="99" t="s">
        <v>1</v>
      </c>
      <c r="B76" s="206" t="s">
        <v>98</v>
      </c>
      <c r="C76" s="98"/>
      <c r="D76" s="98"/>
      <c r="E76" s="98"/>
      <c r="F76" s="98"/>
      <c r="G76" s="169"/>
    </row>
    <row r="77" spans="1:7" ht="18.75" customHeight="1" x14ac:dyDescent="0.3">
      <c r="A77" s="99"/>
      <c r="B77" s="164"/>
      <c r="C77" s="98"/>
      <c r="D77" s="98"/>
      <c r="E77" s="98"/>
      <c r="F77" s="98"/>
      <c r="G77" s="169"/>
    </row>
    <row r="78" spans="1:7" ht="18.75" customHeight="1" x14ac:dyDescent="0.3">
      <c r="A78" s="169"/>
      <c r="B78" s="495" t="s">
        <v>99</v>
      </c>
      <c r="C78" s="496"/>
      <c r="D78" s="98"/>
      <c r="E78" s="169"/>
      <c r="F78" s="169"/>
      <c r="G78" s="169"/>
    </row>
    <row r="79" spans="1:7" ht="18.75" customHeight="1" x14ac:dyDescent="0.3">
      <c r="A79" s="169"/>
      <c r="B79" s="207" t="s">
        <v>43</v>
      </c>
      <c r="C79" s="208">
        <f>G70</f>
        <v>103.1587843755525</v>
      </c>
      <c r="D79" s="98"/>
      <c r="E79" s="169"/>
      <c r="F79" s="169"/>
      <c r="G79" s="169"/>
    </row>
    <row r="80" spans="1:7" ht="26.25" customHeight="1" x14ac:dyDescent="0.4">
      <c r="A80" s="169"/>
      <c r="B80" s="207" t="s">
        <v>100</v>
      </c>
      <c r="C80" s="209">
        <v>2.4</v>
      </c>
      <c r="D80" s="98"/>
      <c r="E80" s="169"/>
      <c r="F80" s="169"/>
      <c r="G80" s="169"/>
    </row>
    <row r="81" spans="1:7" ht="18.75" customHeight="1" x14ac:dyDescent="0.3">
      <c r="A81" s="169"/>
      <c r="B81" s="207" t="s">
        <v>101</v>
      </c>
      <c r="C81" s="208">
        <f>STDEV(G59:G68)</f>
        <v>1.0421647719377261</v>
      </c>
      <c r="D81" s="98"/>
      <c r="E81" s="169"/>
      <c r="F81" s="169"/>
      <c r="G81" s="169"/>
    </row>
    <row r="82" spans="1:7" ht="18.75" customHeight="1" x14ac:dyDescent="0.3">
      <c r="A82" s="169"/>
      <c r="B82" s="207" t="s">
        <v>102</v>
      </c>
      <c r="C82" s="208">
        <f>IF(OR(G70&lt;98.5,G70&gt;101.5),(IF(98.5&gt;G70,98.5,101.5)),C79)</f>
        <v>101.5</v>
      </c>
      <c r="D82" s="98"/>
      <c r="E82" s="169"/>
      <c r="F82" s="169"/>
      <c r="G82" s="169"/>
    </row>
    <row r="83" spans="1:7" ht="18.75" customHeight="1" x14ac:dyDescent="0.3">
      <c r="A83" s="169"/>
      <c r="B83" s="207" t="s">
        <v>103</v>
      </c>
      <c r="C83" s="210">
        <f>ABS(C82-C79)+(C80*C81)</f>
        <v>4.159979828203042</v>
      </c>
      <c r="D83" s="98"/>
      <c r="E83" s="169"/>
      <c r="F83" s="169"/>
      <c r="G83" s="169"/>
    </row>
    <row r="84" spans="1:7" ht="17.25" customHeight="1" x14ac:dyDescent="0.3">
      <c r="A84" s="166"/>
      <c r="B84" s="211"/>
      <c r="C84" s="98"/>
      <c r="D84" s="98"/>
      <c r="E84" s="98"/>
      <c r="F84" s="98"/>
      <c r="G84" s="98"/>
    </row>
    <row r="85" spans="1:7" ht="0.75" hidden="1" customHeight="1" x14ac:dyDescent="0.3">
      <c r="A85" s="107" t="s">
        <v>104</v>
      </c>
      <c r="B85" s="107" t="s">
        <v>105</v>
      </c>
      <c r="C85" s="98"/>
      <c r="D85" s="98"/>
      <c r="E85" s="98"/>
      <c r="F85" s="98"/>
      <c r="G85" s="98"/>
    </row>
    <row r="86" spans="1:7" ht="18.75" hidden="1" customHeight="1" x14ac:dyDescent="0.3">
      <c r="A86" s="107"/>
      <c r="B86" s="107"/>
      <c r="C86" s="98"/>
      <c r="D86" s="98"/>
      <c r="E86" s="98"/>
      <c r="F86" s="98"/>
      <c r="G86" s="98"/>
    </row>
    <row r="87" spans="1:7" ht="26.25" hidden="1" customHeight="1" x14ac:dyDescent="0.4">
      <c r="A87" s="108" t="s">
        <v>4</v>
      </c>
      <c r="B87" s="477" t="s">
        <v>145</v>
      </c>
      <c r="C87" s="477"/>
      <c r="D87" s="98"/>
      <c r="E87" s="98"/>
      <c r="F87" s="98"/>
      <c r="G87" s="98"/>
    </row>
    <row r="88" spans="1:7" ht="14.25" hidden="1" customHeight="1" x14ac:dyDescent="0.4">
      <c r="A88" s="109" t="s">
        <v>48</v>
      </c>
      <c r="B88" s="478" t="s">
        <v>146</v>
      </c>
      <c r="C88" s="478"/>
      <c r="D88" s="98"/>
      <c r="E88" s="98"/>
      <c r="F88" s="98"/>
      <c r="G88" s="98"/>
    </row>
    <row r="89" spans="1:7" ht="27" hidden="1" customHeight="1" x14ac:dyDescent="0.4">
      <c r="A89" s="109" t="s">
        <v>6</v>
      </c>
      <c r="B89" s="110">
        <v>99.14</v>
      </c>
      <c r="C89" s="98"/>
      <c r="D89" s="98"/>
      <c r="E89" s="98"/>
      <c r="F89" s="98"/>
      <c r="G89" s="98"/>
    </row>
    <row r="90" spans="1:7" ht="27" hidden="1" customHeight="1" x14ac:dyDescent="0.4">
      <c r="A90" s="109" t="s">
        <v>49</v>
      </c>
      <c r="B90" s="110">
        <f>B33</f>
        <v>0</v>
      </c>
      <c r="C90" s="497" t="s">
        <v>106</v>
      </c>
      <c r="D90" s="498"/>
      <c r="E90" s="498"/>
      <c r="F90" s="498"/>
      <c r="G90" s="499"/>
    </row>
    <row r="91" spans="1:7" ht="18.75" hidden="1" customHeight="1" x14ac:dyDescent="0.3">
      <c r="A91" s="109" t="s">
        <v>51</v>
      </c>
      <c r="B91" s="113">
        <f>B89-B90</f>
        <v>99.14</v>
      </c>
      <c r="C91" s="212"/>
      <c r="D91" s="212"/>
      <c r="E91" s="212"/>
      <c r="F91" s="212"/>
      <c r="G91" s="213"/>
    </row>
    <row r="92" spans="1:7" ht="19.5" hidden="1" customHeight="1" x14ac:dyDescent="0.3">
      <c r="A92" s="109"/>
      <c r="B92" s="113"/>
      <c r="C92" s="212"/>
      <c r="D92" s="212"/>
      <c r="E92" s="212"/>
      <c r="F92" s="212"/>
      <c r="G92" s="213"/>
    </row>
    <row r="93" spans="1:7" ht="27" hidden="1" customHeight="1" x14ac:dyDescent="0.4">
      <c r="A93" s="109" t="s">
        <v>52</v>
      </c>
      <c r="B93" s="115">
        <v>321.82</v>
      </c>
      <c r="C93" s="479" t="s">
        <v>107</v>
      </c>
      <c r="D93" s="480"/>
      <c r="E93" s="480"/>
      <c r="F93" s="480"/>
      <c r="G93" s="480"/>
    </row>
    <row r="94" spans="1:7" ht="27" hidden="1" customHeight="1" x14ac:dyDescent="0.4">
      <c r="A94" s="109" t="s">
        <v>54</v>
      </c>
      <c r="B94" s="115">
        <v>419.9</v>
      </c>
      <c r="C94" s="479" t="s">
        <v>108</v>
      </c>
      <c r="D94" s="480"/>
      <c r="E94" s="480"/>
      <c r="F94" s="480"/>
      <c r="G94" s="480"/>
    </row>
    <row r="95" spans="1:7" ht="18.75" hidden="1" customHeight="1" x14ac:dyDescent="0.3">
      <c r="A95" s="109"/>
      <c r="B95" s="116"/>
      <c r="C95" s="117"/>
      <c r="D95" s="117"/>
      <c r="E95" s="117"/>
      <c r="F95" s="117"/>
      <c r="G95" s="117"/>
    </row>
    <row r="96" spans="1:7" ht="18.75" hidden="1" customHeight="1" x14ac:dyDescent="0.3">
      <c r="A96" s="109" t="s">
        <v>56</v>
      </c>
      <c r="B96" s="118">
        <f>B93/B94</f>
        <v>0.76642057632769711</v>
      </c>
      <c r="C96" s="98" t="s">
        <v>57</v>
      </c>
      <c r="D96" s="98"/>
      <c r="E96" s="98"/>
      <c r="F96" s="98"/>
      <c r="G96" s="98"/>
    </row>
    <row r="97" spans="1:7" ht="19.5" hidden="1" customHeight="1" x14ac:dyDescent="0.3">
      <c r="A97" s="107"/>
      <c r="B97" s="107"/>
      <c r="C97" s="98"/>
      <c r="D97" s="98"/>
      <c r="E97" s="98"/>
      <c r="F97" s="98"/>
      <c r="G97" s="98"/>
    </row>
    <row r="98" spans="1:7" ht="27" hidden="1" customHeight="1" x14ac:dyDescent="0.4">
      <c r="A98" s="119" t="s">
        <v>58</v>
      </c>
      <c r="B98" s="214">
        <v>25</v>
      </c>
      <c r="C98" s="98"/>
      <c r="D98" s="215" t="s">
        <v>59</v>
      </c>
      <c r="E98" s="216"/>
      <c r="F98" s="482" t="s">
        <v>60</v>
      </c>
      <c r="G98" s="484"/>
    </row>
    <row r="99" spans="1:7" ht="26.25" hidden="1" customHeight="1" x14ac:dyDescent="0.4">
      <c r="A99" s="121" t="s">
        <v>61</v>
      </c>
      <c r="B99" s="217">
        <v>3</v>
      </c>
      <c r="C99" s="123" t="s">
        <v>62</v>
      </c>
      <c r="D99" s="124" t="s">
        <v>63</v>
      </c>
      <c r="E99" s="125" t="s">
        <v>64</v>
      </c>
      <c r="F99" s="124" t="s">
        <v>63</v>
      </c>
      <c r="G99" s="126" t="s">
        <v>64</v>
      </c>
    </row>
    <row r="100" spans="1:7" ht="26.25" hidden="1" customHeight="1" x14ac:dyDescent="0.4">
      <c r="A100" s="121" t="s">
        <v>65</v>
      </c>
      <c r="B100" s="217">
        <v>25</v>
      </c>
      <c r="C100" s="127">
        <v>1</v>
      </c>
      <c r="D100" s="128">
        <v>18572987</v>
      </c>
      <c r="E100" s="218">
        <f>IF(ISBLANK(D100),"-",$D$110/$D$107*D100)</f>
        <v>22091023.417770721</v>
      </c>
      <c r="F100" s="219">
        <v>17826422</v>
      </c>
      <c r="G100" s="130">
        <f>IF(ISBLANK(F100),"-",$D$110/$F$107*F100)</f>
        <v>22540704.044150498</v>
      </c>
    </row>
    <row r="101" spans="1:7" ht="26.25" hidden="1" customHeight="1" x14ac:dyDescent="0.4">
      <c r="A101" s="121" t="s">
        <v>66</v>
      </c>
      <c r="B101" s="217">
        <v>1</v>
      </c>
      <c r="C101" s="131">
        <v>2</v>
      </c>
      <c r="D101" s="132">
        <v>18406075</v>
      </c>
      <c r="E101" s="220">
        <f>IF(ISBLANK(D101),"-",$D$110/$D$107*D101)</f>
        <v>21892495.474973638</v>
      </c>
      <c r="F101" s="110">
        <v>17747789</v>
      </c>
      <c r="G101" s="134">
        <f>IF(ISBLANK(F101),"-",$D$110/$F$107*F101)</f>
        <v>22441276.173481684</v>
      </c>
    </row>
    <row r="102" spans="1:7" ht="26.25" hidden="1" customHeight="1" x14ac:dyDescent="0.4">
      <c r="A102" s="121" t="s">
        <v>67</v>
      </c>
      <c r="B102" s="217">
        <v>1</v>
      </c>
      <c r="C102" s="131">
        <v>3</v>
      </c>
      <c r="D102" s="132">
        <v>18483695</v>
      </c>
      <c r="E102" s="220">
        <f>IF(ISBLANK(D102),"-",$D$110/$D$107*D102)</f>
        <v>21984818.009721946</v>
      </c>
      <c r="F102" s="221">
        <v>17856315</v>
      </c>
      <c r="G102" s="134">
        <f>IF(ISBLANK(F102),"-",$D$110/$F$107*F102)</f>
        <v>22578502.39011088</v>
      </c>
    </row>
    <row r="103" spans="1:7" ht="26.25" hidden="1" customHeight="1" x14ac:dyDescent="0.4">
      <c r="A103" s="121" t="s">
        <v>68</v>
      </c>
      <c r="B103" s="217">
        <v>1</v>
      </c>
      <c r="C103" s="135">
        <v>4</v>
      </c>
      <c r="D103" s="136"/>
      <c r="E103" s="222" t="str">
        <f>IF(ISBLANK(D103),"-",$D$110/$D$107*D103)</f>
        <v>-</v>
      </c>
      <c r="F103" s="223"/>
      <c r="G103" s="138" t="str">
        <f>IF(ISBLANK(F103),"-",$D$110/$F$107*F103)</f>
        <v>-</v>
      </c>
    </row>
    <row r="104" spans="1:7" ht="27" hidden="1" customHeight="1" x14ac:dyDescent="0.4">
      <c r="A104" s="121" t="s">
        <v>69</v>
      </c>
      <c r="B104" s="217">
        <v>1</v>
      </c>
      <c r="C104" s="139" t="s">
        <v>70</v>
      </c>
      <c r="D104" s="224">
        <f>AVERAGE(D100:D103)</f>
        <v>18487585.666666668</v>
      </c>
      <c r="E104" s="141">
        <f>AVERAGE(E100:E103)</f>
        <v>21989445.634155437</v>
      </c>
      <c r="F104" s="224">
        <f>AVERAGE(F100:F103)</f>
        <v>17810175.333333332</v>
      </c>
      <c r="G104" s="225">
        <f>AVERAGE(G100:G103)</f>
        <v>22520160.869247686</v>
      </c>
    </row>
    <row r="105" spans="1:7" ht="26.25" hidden="1" customHeight="1" x14ac:dyDescent="0.4">
      <c r="A105" s="121" t="s">
        <v>71</v>
      </c>
      <c r="B105" s="217">
        <v>1</v>
      </c>
      <c r="C105" s="143" t="s">
        <v>72</v>
      </c>
      <c r="D105" s="226">
        <v>19.21</v>
      </c>
      <c r="E105" s="145"/>
      <c r="F105" s="144">
        <v>18.07</v>
      </c>
      <c r="G105" s="98"/>
    </row>
    <row r="106" spans="1:7" ht="26.25" hidden="1" customHeight="1" x14ac:dyDescent="0.4">
      <c r="A106" s="121" t="s">
        <v>73</v>
      </c>
      <c r="B106" s="217">
        <v>1</v>
      </c>
      <c r="C106" s="146" t="s">
        <v>74</v>
      </c>
      <c r="D106" s="227">
        <f>D105*$B$96</f>
        <v>14.722939271255061</v>
      </c>
      <c r="E106" s="148"/>
      <c r="F106" s="147">
        <f>F105*$B$96</f>
        <v>13.849219814241486</v>
      </c>
      <c r="G106" s="98"/>
    </row>
    <row r="107" spans="1:7" ht="19.5" hidden="1" customHeight="1" x14ac:dyDescent="0.3">
      <c r="A107" s="121" t="s">
        <v>75</v>
      </c>
      <c r="B107" s="259">
        <f>(B106/B105)*(B104/B103)*(B102/B101)*(B100/B99)*B98</f>
        <v>208.33333333333334</v>
      </c>
      <c r="C107" s="146" t="s">
        <v>76</v>
      </c>
      <c r="D107" s="228">
        <f>D106*$B$91/100</f>
        <v>14.596321993522267</v>
      </c>
      <c r="E107" s="151"/>
      <c r="F107" s="150">
        <f>F106*$B$91/100</f>
        <v>13.73011652383901</v>
      </c>
      <c r="G107" s="98"/>
    </row>
    <row r="108" spans="1:7" ht="19.5" hidden="1" customHeight="1" x14ac:dyDescent="0.3">
      <c r="A108" s="485" t="s">
        <v>77</v>
      </c>
      <c r="B108" s="486"/>
      <c r="C108" s="146" t="s">
        <v>78</v>
      </c>
      <c r="D108" s="227">
        <f>D107/$B$107</f>
        <v>7.0062345568906878E-2</v>
      </c>
      <c r="E108" s="151"/>
      <c r="F108" s="152">
        <f>F107/$B$107</f>
        <v>6.590455931442725E-2</v>
      </c>
      <c r="G108" s="229"/>
    </row>
    <row r="109" spans="1:7" ht="19.5" hidden="1" customHeight="1" x14ac:dyDescent="0.3">
      <c r="A109" s="487"/>
      <c r="B109" s="488"/>
      <c r="C109" s="277" t="s">
        <v>79</v>
      </c>
      <c r="D109" s="231">
        <f>$B$56/$B$125</f>
        <v>8.3333333333333329E-2</v>
      </c>
      <c r="E109" s="98"/>
      <c r="F109" s="155"/>
      <c r="G109" s="232"/>
    </row>
    <row r="110" spans="1:7" ht="18.75" hidden="1" customHeight="1" x14ac:dyDescent="0.3">
      <c r="A110" s="98"/>
      <c r="B110" s="98"/>
      <c r="C110" s="230" t="s">
        <v>80</v>
      </c>
      <c r="D110" s="227">
        <f>D109*$B$107</f>
        <v>17.361111111111111</v>
      </c>
      <c r="E110" s="98"/>
      <c r="F110" s="155"/>
      <c r="G110" s="229"/>
    </row>
    <row r="111" spans="1:7" ht="19.5" hidden="1" customHeight="1" x14ac:dyDescent="0.3">
      <c r="A111" s="98"/>
      <c r="B111" s="98"/>
      <c r="C111" s="233" t="s">
        <v>81</v>
      </c>
      <c r="D111" s="234">
        <f>D110/B96</f>
        <v>22.652198606536434</v>
      </c>
      <c r="E111" s="98"/>
      <c r="F111" s="160"/>
      <c r="G111" s="229"/>
    </row>
    <row r="112" spans="1:7" ht="18.75" hidden="1" customHeight="1" x14ac:dyDescent="0.3">
      <c r="A112" s="98"/>
      <c r="B112" s="98"/>
      <c r="C112" s="235" t="s">
        <v>82</v>
      </c>
      <c r="D112" s="236">
        <f>AVERAGE(E100:E103,G100:G103)</f>
        <v>22254803.251701564</v>
      </c>
      <c r="E112" s="98"/>
      <c r="F112" s="160"/>
      <c r="G112" s="237"/>
    </row>
    <row r="113" spans="1:7" ht="18.75" hidden="1" customHeight="1" x14ac:dyDescent="0.3">
      <c r="A113" s="98"/>
      <c r="B113" s="98"/>
      <c r="C113" s="238" t="s">
        <v>83</v>
      </c>
      <c r="D113" s="239">
        <f>STDEV(E100:E103,G100:G103)/D112</f>
        <v>1.3514273101727562E-2</v>
      </c>
      <c r="E113" s="98"/>
      <c r="F113" s="160"/>
      <c r="G113" s="229"/>
    </row>
    <row r="114" spans="1:7" ht="19.5" hidden="1" customHeight="1" x14ac:dyDescent="0.3">
      <c r="A114" s="98"/>
      <c r="B114" s="98"/>
      <c r="C114" s="240" t="s">
        <v>20</v>
      </c>
      <c r="D114" s="241">
        <f>COUNT(E100:E103,G100:G103)</f>
        <v>6</v>
      </c>
      <c r="E114" s="98"/>
      <c r="F114" s="160"/>
      <c r="G114" s="229"/>
    </row>
    <row r="115" spans="1:7" ht="11.25" hidden="1" customHeight="1" x14ac:dyDescent="0.3">
      <c r="A115" s="99"/>
      <c r="B115" s="99"/>
      <c r="C115" s="99"/>
      <c r="D115" s="99"/>
      <c r="E115" s="99"/>
      <c r="F115" s="98"/>
      <c r="G115" s="98"/>
    </row>
    <row r="116" spans="1:7" ht="26.25" hidden="1" customHeight="1" x14ac:dyDescent="0.4">
      <c r="A116" s="119" t="s">
        <v>109</v>
      </c>
      <c r="B116" s="214">
        <v>900</v>
      </c>
      <c r="C116" s="242" t="s">
        <v>110</v>
      </c>
      <c r="D116" s="243" t="s">
        <v>63</v>
      </c>
      <c r="E116" s="244" t="s">
        <v>111</v>
      </c>
      <c r="F116" s="245" t="s">
        <v>112</v>
      </c>
      <c r="G116" s="98"/>
    </row>
    <row r="117" spans="1:7" ht="26.25" hidden="1" customHeight="1" x14ac:dyDescent="0.4">
      <c r="A117" s="121" t="s">
        <v>113</v>
      </c>
      <c r="B117" s="217">
        <v>1</v>
      </c>
      <c r="C117" s="179">
        <v>1</v>
      </c>
      <c r="D117" s="246">
        <v>23268193</v>
      </c>
      <c r="E117" s="247">
        <f t="shared" ref="E117:E122" si="3">IF(ISBLANK(D117),"-",D117/$D$112*$D$109*$B$125)</f>
        <v>78.415183242142177</v>
      </c>
      <c r="F117" s="248">
        <f t="shared" ref="F117:F122" si="4">IF(ISBLANK(D117), "-", E117/$B$56)</f>
        <v>1.0455357765618958</v>
      </c>
      <c r="G117" s="98"/>
    </row>
    <row r="118" spans="1:7" ht="26.25" hidden="1" customHeight="1" x14ac:dyDescent="0.4">
      <c r="A118" s="121" t="s">
        <v>114</v>
      </c>
      <c r="B118" s="217">
        <v>1</v>
      </c>
      <c r="C118" s="179">
        <v>2</v>
      </c>
      <c r="D118" s="246">
        <v>23041732</v>
      </c>
      <c r="E118" s="249">
        <f t="shared" si="3"/>
        <v>77.651996310857982</v>
      </c>
      <c r="F118" s="250">
        <f t="shared" si="4"/>
        <v>1.0353599508114397</v>
      </c>
      <c r="G118" s="98"/>
    </row>
    <row r="119" spans="1:7" ht="26.25" hidden="1" customHeight="1" x14ac:dyDescent="0.4">
      <c r="A119" s="121" t="s">
        <v>115</v>
      </c>
      <c r="B119" s="217">
        <v>1</v>
      </c>
      <c r="C119" s="179">
        <v>3</v>
      </c>
      <c r="D119" s="246">
        <v>22474369</v>
      </c>
      <c r="E119" s="249">
        <f t="shared" si="3"/>
        <v>75.739949526227491</v>
      </c>
      <c r="F119" s="250">
        <f t="shared" si="4"/>
        <v>1.0098659936830332</v>
      </c>
      <c r="G119" s="98"/>
    </row>
    <row r="120" spans="1:7" ht="26.25" hidden="1" customHeight="1" x14ac:dyDescent="0.4">
      <c r="A120" s="121" t="s">
        <v>116</v>
      </c>
      <c r="B120" s="217">
        <v>1</v>
      </c>
      <c r="C120" s="179">
        <v>4</v>
      </c>
      <c r="D120" s="246">
        <v>22754575</v>
      </c>
      <c r="E120" s="249">
        <f t="shared" si="3"/>
        <v>76.684260278486931</v>
      </c>
      <c r="F120" s="250">
        <f t="shared" si="4"/>
        <v>1.0224568037131592</v>
      </c>
      <c r="G120" s="98"/>
    </row>
    <row r="121" spans="1:7" ht="26.25" hidden="1" customHeight="1" x14ac:dyDescent="0.4">
      <c r="A121" s="121" t="s">
        <v>117</v>
      </c>
      <c r="B121" s="217">
        <v>1</v>
      </c>
      <c r="C121" s="179">
        <v>5</v>
      </c>
      <c r="D121" s="246">
        <v>22941085</v>
      </c>
      <c r="E121" s="249">
        <f t="shared" si="3"/>
        <v>77.31280998264711</v>
      </c>
      <c r="F121" s="250">
        <f t="shared" si="4"/>
        <v>1.0308374664352948</v>
      </c>
      <c r="G121" s="98"/>
    </row>
    <row r="122" spans="1:7" ht="26.25" hidden="1" customHeight="1" x14ac:dyDescent="0.4">
      <c r="A122" s="121" t="s">
        <v>118</v>
      </c>
      <c r="B122" s="217">
        <v>1</v>
      </c>
      <c r="C122" s="251">
        <v>6</v>
      </c>
      <c r="D122" s="252">
        <v>22944353</v>
      </c>
      <c r="E122" s="253">
        <f t="shared" si="3"/>
        <v>77.323823335460332</v>
      </c>
      <c r="F122" s="254">
        <f t="shared" si="4"/>
        <v>1.0309843111394712</v>
      </c>
      <c r="G122" s="98"/>
    </row>
    <row r="123" spans="1:7" ht="26.25" hidden="1" customHeight="1" x14ac:dyDescent="0.4">
      <c r="A123" s="121" t="s">
        <v>119</v>
      </c>
      <c r="B123" s="217">
        <v>1</v>
      </c>
      <c r="C123" s="179"/>
      <c r="D123" s="255"/>
      <c r="E123" s="199"/>
      <c r="F123" s="182"/>
      <c r="G123" s="98"/>
    </row>
    <row r="124" spans="1:7" ht="26.25" hidden="1" customHeight="1" x14ac:dyDescent="0.4">
      <c r="A124" s="121" t="s">
        <v>120</v>
      </c>
      <c r="B124" s="217">
        <v>1</v>
      </c>
      <c r="C124" s="179"/>
      <c r="D124" s="256"/>
      <c r="E124" s="257" t="s">
        <v>70</v>
      </c>
      <c r="F124" s="258">
        <f>AVERAGE(F117:F122)</f>
        <v>1.0291733837240491</v>
      </c>
      <c r="G124" s="98"/>
    </row>
    <row r="125" spans="1:7" ht="27" hidden="1" customHeight="1" x14ac:dyDescent="0.4">
      <c r="A125" s="121" t="s">
        <v>121</v>
      </c>
      <c r="B125" s="259">
        <f>(B124/B123)*(B122/B121)*(B120/B119)*(B118/B117)*B116</f>
        <v>900</v>
      </c>
      <c r="C125" s="260"/>
      <c r="D125" s="261"/>
      <c r="E125" s="157" t="s">
        <v>83</v>
      </c>
      <c r="F125" s="194">
        <f>STDEV(F117:F122)/F124</f>
        <v>1.1740035446482054E-2</v>
      </c>
      <c r="G125" s="98"/>
    </row>
    <row r="126" spans="1:7" ht="27" hidden="1" customHeight="1" x14ac:dyDescent="0.4">
      <c r="A126" s="485" t="s">
        <v>77</v>
      </c>
      <c r="B126" s="486"/>
      <c r="C126" s="262"/>
      <c r="D126" s="263"/>
      <c r="E126" s="264" t="s">
        <v>20</v>
      </c>
      <c r="F126" s="265">
        <f>COUNT(F117:F122)</f>
        <v>6</v>
      </c>
      <c r="G126" s="98"/>
    </row>
    <row r="127" spans="1:7" ht="19.5" hidden="1" customHeight="1" x14ac:dyDescent="0.3">
      <c r="A127" s="487"/>
      <c r="B127" s="488"/>
      <c r="C127" s="199"/>
      <c r="D127" s="199"/>
      <c r="E127" s="199"/>
      <c r="F127" s="255"/>
      <c r="G127" s="199"/>
    </row>
    <row r="128" spans="1:7" ht="18.75" hidden="1" customHeight="1" x14ac:dyDescent="0.3">
      <c r="A128" s="117"/>
      <c r="B128" s="117"/>
      <c r="C128" s="199"/>
      <c r="D128" s="199"/>
      <c r="E128" s="199"/>
      <c r="F128" s="255"/>
      <c r="G128" s="199"/>
    </row>
    <row r="129" spans="1:7" ht="18.75" hidden="1" customHeight="1" x14ac:dyDescent="0.3">
      <c r="A129" s="108" t="s">
        <v>95</v>
      </c>
      <c r="B129" s="201" t="s">
        <v>122</v>
      </c>
      <c r="C129" s="492" t="str">
        <f>B20</f>
        <v>Clopidrogel</v>
      </c>
      <c r="D129" s="492"/>
      <c r="E129" s="202" t="s">
        <v>123</v>
      </c>
      <c r="F129" s="202"/>
      <c r="G129" s="205">
        <f>F124</f>
        <v>1.0291733837240491</v>
      </c>
    </row>
    <row r="130" spans="1:7" ht="19.5" hidden="1" customHeight="1" x14ac:dyDescent="0.3">
      <c r="A130" s="266"/>
      <c r="B130" s="266"/>
      <c r="C130" s="267"/>
      <c r="D130" s="267"/>
      <c r="E130" s="267"/>
      <c r="F130" s="267"/>
      <c r="G130" s="267"/>
    </row>
    <row r="131" spans="1:7" ht="18.75" customHeight="1" x14ac:dyDescent="0.3">
      <c r="A131" s="98"/>
      <c r="B131" s="491" t="s">
        <v>26</v>
      </c>
      <c r="C131" s="491"/>
      <c r="D131" s="98"/>
      <c r="E131" s="268" t="s">
        <v>27</v>
      </c>
      <c r="F131" s="269"/>
      <c r="G131" s="276" t="s">
        <v>28</v>
      </c>
    </row>
    <row r="132" spans="1:7" ht="60" customHeight="1" x14ac:dyDescent="0.3">
      <c r="A132" s="270" t="s">
        <v>29</v>
      </c>
      <c r="B132" s="271"/>
      <c r="C132" s="271"/>
      <c r="D132" s="98"/>
      <c r="E132" s="271"/>
      <c r="F132" s="199"/>
      <c r="G132" s="272"/>
    </row>
    <row r="133" spans="1:7" ht="60" customHeight="1" x14ac:dyDescent="0.3">
      <c r="A133" s="270" t="s">
        <v>30</v>
      </c>
      <c r="B133" s="273"/>
      <c r="C133" s="273"/>
      <c r="D133" s="98"/>
      <c r="E133" s="273"/>
      <c r="F133" s="199"/>
      <c r="G133" s="274"/>
    </row>
    <row r="250" spans="1:1" x14ac:dyDescent="0.2">
      <c r="A250">
        <v>0</v>
      </c>
    </row>
  </sheetData>
  <sheetProtection password="F258" sheet="1" formatColumns="0" formatRows="0" insertColumns="0" insertHyperlinks="0" deleteColumns="0" deleteRows="0" autoFilter="0" pivotTables="0"/>
  <mergeCells count="26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11" priority="1" operator="greaterThan">
      <formula>0.02</formula>
    </cfRule>
  </conditionalFormatting>
  <conditionalFormatting sqref="C83">
    <cfRule type="cellIs" dxfId="10" priority="2" operator="greaterThan">
      <formula>15</formula>
    </cfRule>
  </conditionalFormatting>
  <conditionalFormatting sqref="D113">
    <cfRule type="cellIs" dxfId="9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9" t="s">
        <v>45</v>
      </c>
      <c r="B1" s="489"/>
      <c r="C1" s="489"/>
      <c r="D1" s="489"/>
      <c r="E1" s="489"/>
      <c r="F1" s="489"/>
      <c r="G1" s="489"/>
      <c r="H1" s="489"/>
      <c r="I1" s="489"/>
    </row>
    <row r="2" spans="1:9" ht="18.75" customHeight="1" x14ac:dyDescent="0.25">
      <c r="A2" s="489"/>
      <c r="B2" s="489"/>
      <c r="C2" s="489"/>
      <c r="D2" s="489"/>
      <c r="E2" s="489"/>
      <c r="F2" s="489"/>
      <c r="G2" s="489"/>
      <c r="H2" s="489"/>
      <c r="I2" s="489"/>
    </row>
    <row r="3" spans="1:9" ht="18.75" customHeight="1" x14ac:dyDescent="0.25">
      <c r="A3" s="489"/>
      <c r="B3" s="489"/>
      <c r="C3" s="489"/>
      <c r="D3" s="489"/>
      <c r="E3" s="489"/>
      <c r="F3" s="489"/>
      <c r="G3" s="489"/>
      <c r="H3" s="489"/>
      <c r="I3" s="489"/>
    </row>
    <row r="4" spans="1:9" ht="18.75" customHeight="1" x14ac:dyDescent="0.25">
      <c r="A4" s="489"/>
      <c r="B4" s="489"/>
      <c r="C4" s="489"/>
      <c r="D4" s="489"/>
      <c r="E4" s="489"/>
      <c r="F4" s="489"/>
      <c r="G4" s="489"/>
      <c r="H4" s="489"/>
      <c r="I4" s="489"/>
    </row>
    <row r="5" spans="1:9" ht="18.75" customHeight="1" x14ac:dyDescent="0.25">
      <c r="A5" s="489"/>
      <c r="B5" s="489"/>
      <c r="C5" s="489"/>
      <c r="D5" s="489"/>
      <c r="E5" s="489"/>
      <c r="F5" s="489"/>
      <c r="G5" s="489"/>
      <c r="H5" s="489"/>
      <c r="I5" s="489"/>
    </row>
    <row r="6" spans="1:9" ht="18.75" customHeight="1" x14ac:dyDescent="0.25">
      <c r="A6" s="489"/>
      <c r="B6" s="489"/>
      <c r="C6" s="489"/>
      <c r="D6" s="489"/>
      <c r="E6" s="489"/>
      <c r="F6" s="489"/>
      <c r="G6" s="489"/>
      <c r="H6" s="489"/>
      <c r="I6" s="489"/>
    </row>
    <row r="7" spans="1:9" ht="18.75" customHeight="1" x14ac:dyDescent="0.25">
      <c r="A7" s="489"/>
      <c r="B7" s="489"/>
      <c r="C7" s="489"/>
      <c r="D7" s="489"/>
      <c r="E7" s="489"/>
      <c r="F7" s="489"/>
      <c r="G7" s="489"/>
      <c r="H7" s="489"/>
      <c r="I7" s="489"/>
    </row>
    <row r="8" spans="1:9" x14ac:dyDescent="0.25">
      <c r="A8" s="490" t="s">
        <v>46</v>
      </c>
      <c r="B8" s="490"/>
      <c r="C8" s="490"/>
      <c r="D8" s="490"/>
      <c r="E8" s="490"/>
      <c r="F8" s="490"/>
      <c r="G8" s="490"/>
      <c r="H8" s="490"/>
      <c r="I8" s="490"/>
    </row>
    <row r="9" spans="1:9" x14ac:dyDescent="0.25">
      <c r="A9" s="490"/>
      <c r="B9" s="490"/>
      <c r="C9" s="490"/>
      <c r="D9" s="490"/>
      <c r="E9" s="490"/>
      <c r="F9" s="490"/>
      <c r="G9" s="490"/>
      <c r="H9" s="490"/>
      <c r="I9" s="490"/>
    </row>
    <row r="10" spans="1:9" x14ac:dyDescent="0.25">
      <c r="A10" s="490"/>
      <c r="B10" s="490"/>
      <c r="C10" s="490"/>
      <c r="D10" s="490"/>
      <c r="E10" s="490"/>
      <c r="F10" s="490"/>
      <c r="G10" s="490"/>
      <c r="H10" s="490"/>
      <c r="I10" s="490"/>
    </row>
    <row r="11" spans="1:9" x14ac:dyDescent="0.25">
      <c r="A11" s="490"/>
      <c r="B11" s="490"/>
      <c r="C11" s="490"/>
      <c r="D11" s="490"/>
      <c r="E11" s="490"/>
      <c r="F11" s="490"/>
      <c r="G11" s="490"/>
      <c r="H11" s="490"/>
      <c r="I11" s="490"/>
    </row>
    <row r="12" spans="1:9" x14ac:dyDescent="0.25">
      <c r="A12" s="490"/>
      <c r="B12" s="490"/>
      <c r="C12" s="490"/>
      <c r="D12" s="490"/>
      <c r="E12" s="490"/>
      <c r="F12" s="490"/>
      <c r="G12" s="490"/>
      <c r="H12" s="490"/>
      <c r="I12" s="490"/>
    </row>
    <row r="13" spans="1:9" x14ac:dyDescent="0.25">
      <c r="A13" s="490"/>
      <c r="B13" s="490"/>
      <c r="C13" s="490"/>
      <c r="D13" s="490"/>
      <c r="E13" s="490"/>
      <c r="F13" s="490"/>
      <c r="G13" s="490"/>
      <c r="H13" s="490"/>
      <c r="I13" s="490"/>
    </row>
    <row r="14" spans="1:9" x14ac:dyDescent="0.25">
      <c r="A14" s="490"/>
      <c r="B14" s="490"/>
      <c r="C14" s="490"/>
      <c r="D14" s="490"/>
      <c r="E14" s="490"/>
      <c r="F14" s="490"/>
      <c r="G14" s="490"/>
      <c r="H14" s="490"/>
      <c r="I14" s="490"/>
    </row>
    <row r="15" spans="1:9" ht="19.5" customHeight="1" x14ac:dyDescent="0.3">
      <c r="A15" s="281"/>
    </row>
    <row r="16" spans="1:9" ht="19.5" customHeight="1" x14ac:dyDescent="0.3">
      <c r="A16" s="475" t="s">
        <v>31</v>
      </c>
      <c r="B16" s="476"/>
      <c r="C16" s="476"/>
      <c r="D16" s="476"/>
      <c r="E16" s="476"/>
      <c r="F16" s="476"/>
      <c r="G16" s="476"/>
      <c r="H16" s="513"/>
    </row>
    <row r="17" spans="1:14" ht="20.25" customHeight="1" x14ac:dyDescent="0.25">
      <c r="A17" s="514" t="s">
        <v>47</v>
      </c>
      <c r="B17" s="514"/>
      <c r="C17" s="514"/>
      <c r="D17" s="514"/>
      <c r="E17" s="514"/>
      <c r="F17" s="514"/>
      <c r="G17" s="514"/>
      <c r="H17" s="514"/>
    </row>
    <row r="18" spans="1:14" ht="26.25" customHeight="1" x14ac:dyDescent="0.4">
      <c r="A18" s="283" t="s">
        <v>33</v>
      </c>
      <c r="B18" s="477" t="s">
        <v>5</v>
      </c>
      <c r="C18" s="477"/>
      <c r="D18" s="450"/>
      <c r="E18" s="284"/>
      <c r="F18" s="285"/>
      <c r="G18" s="285"/>
      <c r="H18" s="285"/>
    </row>
    <row r="19" spans="1:14" ht="26.25" customHeight="1" x14ac:dyDescent="0.4">
      <c r="A19" s="283" t="s">
        <v>34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35</v>
      </c>
      <c r="B20" s="515" t="s">
        <v>145</v>
      </c>
      <c r="C20" s="515"/>
      <c r="D20" s="285"/>
      <c r="E20" s="285"/>
      <c r="F20" s="285"/>
      <c r="G20" s="285"/>
      <c r="H20" s="285"/>
    </row>
    <row r="21" spans="1:14" ht="26.25" customHeight="1" x14ac:dyDescent="0.4">
      <c r="A21" s="283" t="s">
        <v>36</v>
      </c>
      <c r="B21" s="515" t="s">
        <v>11</v>
      </c>
      <c r="C21" s="515"/>
      <c r="D21" s="515"/>
      <c r="E21" s="515"/>
      <c r="F21" s="515"/>
      <c r="G21" s="515"/>
      <c r="H21" s="515"/>
      <c r="I21" s="287"/>
    </row>
    <row r="22" spans="1:14" ht="26.25" customHeight="1" x14ac:dyDescent="0.4">
      <c r="A22" s="283" t="s">
        <v>37</v>
      </c>
      <c r="B22" s="288">
        <v>42548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38</v>
      </c>
      <c r="B23" s="288">
        <v>42548</v>
      </c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512" t="s">
        <v>145</v>
      </c>
      <c r="C26" s="512"/>
    </row>
    <row r="27" spans="1:14" ht="26.25" customHeight="1" x14ac:dyDescent="0.4">
      <c r="A27" s="292" t="s">
        <v>48</v>
      </c>
      <c r="B27" s="478" t="s">
        <v>146</v>
      </c>
      <c r="C27" s="478"/>
    </row>
    <row r="28" spans="1:14" ht="27" customHeight="1" x14ac:dyDescent="0.4">
      <c r="A28" s="292" t="s">
        <v>6</v>
      </c>
      <c r="B28" s="293">
        <v>99.14</v>
      </c>
    </row>
    <row r="29" spans="1:14" s="14" customFormat="1" ht="27" customHeight="1" x14ac:dyDescent="0.4">
      <c r="A29" s="292" t="s">
        <v>49</v>
      </c>
      <c r="B29" s="294">
        <v>0</v>
      </c>
      <c r="C29" s="497" t="s">
        <v>106</v>
      </c>
      <c r="D29" s="498"/>
      <c r="E29" s="498"/>
      <c r="F29" s="498"/>
      <c r="G29" s="499"/>
      <c r="I29" s="295"/>
      <c r="J29" s="295"/>
      <c r="K29" s="295"/>
      <c r="L29" s="295"/>
    </row>
    <row r="30" spans="1:14" s="14" customFormat="1" ht="19.5" customHeight="1" x14ac:dyDescent="0.3">
      <c r="A30" s="292" t="s">
        <v>51</v>
      </c>
      <c r="B30" s="296">
        <f>B28-B29</f>
        <v>99.14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52</v>
      </c>
      <c r="B31" s="299">
        <v>321.82</v>
      </c>
      <c r="C31" s="479" t="s">
        <v>53</v>
      </c>
      <c r="D31" s="480"/>
      <c r="E31" s="480"/>
      <c r="F31" s="480"/>
      <c r="G31" s="480"/>
      <c r="H31" s="481"/>
      <c r="I31" s="295"/>
      <c r="J31" s="295"/>
      <c r="K31" s="295"/>
      <c r="L31" s="295"/>
    </row>
    <row r="32" spans="1:14" s="14" customFormat="1" ht="27" customHeight="1" x14ac:dyDescent="0.4">
      <c r="A32" s="292" t="s">
        <v>54</v>
      </c>
      <c r="B32" s="299">
        <v>419.9</v>
      </c>
      <c r="C32" s="479" t="s">
        <v>55</v>
      </c>
      <c r="D32" s="480"/>
      <c r="E32" s="480"/>
      <c r="F32" s="480"/>
      <c r="G32" s="480"/>
      <c r="H32" s="481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56</v>
      </c>
      <c r="B34" s="304">
        <f>B31/B32</f>
        <v>0.76642057632769711</v>
      </c>
      <c r="C34" s="282" t="s">
        <v>57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124</v>
      </c>
      <c r="B36" s="306">
        <v>25</v>
      </c>
      <c r="C36" s="282"/>
      <c r="D36" s="482" t="s">
        <v>59</v>
      </c>
      <c r="E36" s="483"/>
      <c r="F36" s="482" t="s">
        <v>60</v>
      </c>
      <c r="G36" s="484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61</v>
      </c>
      <c r="B37" s="308">
        <v>5</v>
      </c>
      <c r="C37" s="309" t="s">
        <v>62</v>
      </c>
      <c r="D37" s="310" t="s">
        <v>63</v>
      </c>
      <c r="E37" s="311" t="s">
        <v>64</v>
      </c>
      <c r="F37" s="310" t="s">
        <v>63</v>
      </c>
      <c r="G37" s="312" t="s">
        <v>64</v>
      </c>
      <c r="I37" s="313" t="s">
        <v>125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65</v>
      </c>
      <c r="B38" s="308">
        <v>25</v>
      </c>
      <c r="C38" s="314">
        <v>1</v>
      </c>
      <c r="D38" s="315">
        <v>30896733</v>
      </c>
      <c r="E38" s="316">
        <f>IF(ISBLANK(D38),"-",$D$48/$D$45*D38)</f>
        <v>34397152.342406228</v>
      </c>
      <c r="F38" s="315">
        <v>29428224</v>
      </c>
      <c r="G38" s="317">
        <f>IF(ISBLANK(F38),"-",$D$48/$F$45*F38)</f>
        <v>34829175.642443165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66</v>
      </c>
      <c r="B39" s="308">
        <v>1</v>
      </c>
      <c r="C39" s="319">
        <v>2</v>
      </c>
      <c r="D39" s="320">
        <v>30906089</v>
      </c>
      <c r="E39" s="321">
        <f>IF(ISBLANK(D39),"-",$D$48/$D$45*D39)</f>
        <v>34407568.322546124</v>
      </c>
      <c r="F39" s="320">
        <v>29275696</v>
      </c>
      <c r="G39" s="322">
        <f>IF(ISBLANK(F39),"-",$D$48/$F$45*F39)</f>
        <v>34648654.232031494</v>
      </c>
      <c r="I39" s="500">
        <f>ABS((F43/D43*D42)-F42)/D42</f>
        <v>9.6167767634460308E-3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67</v>
      </c>
      <c r="B40" s="308">
        <v>1</v>
      </c>
      <c r="C40" s="319">
        <v>3</v>
      </c>
      <c r="D40" s="320">
        <v>30760893</v>
      </c>
      <c r="E40" s="321">
        <f>IF(ISBLANK(D40),"-",$D$48/$D$45*D40)</f>
        <v>34245922.464017712</v>
      </c>
      <c r="F40" s="320">
        <v>29256850</v>
      </c>
      <c r="G40" s="322">
        <f>IF(ISBLANK(F40),"-",$D$48/$F$45*F40)</f>
        <v>34626349.432252973</v>
      </c>
      <c r="I40" s="500"/>
      <c r="L40" s="300"/>
      <c r="M40" s="300"/>
      <c r="N40" s="323"/>
    </row>
    <row r="41" spans="1:14" ht="27" customHeight="1" x14ac:dyDescent="0.4">
      <c r="A41" s="307" t="s">
        <v>68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69</v>
      </c>
      <c r="B42" s="308">
        <v>1</v>
      </c>
      <c r="C42" s="329" t="s">
        <v>70</v>
      </c>
      <c r="D42" s="330">
        <f>AVERAGE(D38:D41)</f>
        <v>30854571.666666668</v>
      </c>
      <c r="E42" s="331">
        <f>AVERAGE(E38:E41)</f>
        <v>34350214.37632335</v>
      </c>
      <c r="F42" s="330">
        <f>AVERAGE(F38:F41)</f>
        <v>29320256.666666668</v>
      </c>
      <c r="G42" s="332">
        <f>AVERAGE(G38:G41)</f>
        <v>34701393.102242544</v>
      </c>
      <c r="H42" s="333"/>
    </row>
    <row r="43" spans="1:14" ht="26.25" customHeight="1" x14ac:dyDescent="0.4">
      <c r="A43" s="307" t="s">
        <v>71</v>
      </c>
      <c r="B43" s="308">
        <v>1</v>
      </c>
      <c r="C43" s="334" t="s">
        <v>126</v>
      </c>
      <c r="D43" s="335">
        <v>19.21</v>
      </c>
      <c r="E43" s="323"/>
      <c r="F43" s="335">
        <v>18.07</v>
      </c>
      <c r="H43" s="333"/>
    </row>
    <row r="44" spans="1:14" ht="26.25" customHeight="1" x14ac:dyDescent="0.4">
      <c r="A44" s="307" t="s">
        <v>73</v>
      </c>
      <c r="B44" s="308">
        <v>1</v>
      </c>
      <c r="C44" s="336" t="s">
        <v>127</v>
      </c>
      <c r="D44" s="337">
        <f>D43*$B$34</f>
        <v>14.722939271255061</v>
      </c>
      <c r="E44" s="338"/>
      <c r="F44" s="337">
        <f>F43*$B$34</f>
        <v>13.849219814241486</v>
      </c>
      <c r="H44" s="333"/>
    </row>
    <row r="45" spans="1:14" ht="19.5" customHeight="1" x14ac:dyDescent="0.3">
      <c r="A45" s="307" t="s">
        <v>75</v>
      </c>
      <c r="B45" s="339">
        <f>(B44/B43)*(B42/B41)*(B40/B39)*(B38/B37)*B36</f>
        <v>125</v>
      </c>
      <c r="C45" s="336" t="s">
        <v>76</v>
      </c>
      <c r="D45" s="340">
        <f>D44*$B$30/100</f>
        <v>14.596321993522267</v>
      </c>
      <c r="E45" s="341"/>
      <c r="F45" s="340">
        <f>F44*$B$30/100</f>
        <v>13.73011652383901</v>
      </c>
      <c r="H45" s="333"/>
    </row>
    <row r="46" spans="1:14" ht="19.5" customHeight="1" x14ac:dyDescent="0.3">
      <c r="A46" s="485" t="s">
        <v>77</v>
      </c>
      <c r="B46" s="486"/>
      <c r="C46" s="336" t="s">
        <v>78</v>
      </c>
      <c r="D46" s="342">
        <f>D45/$B$45</f>
        <v>0.11677057594817813</v>
      </c>
      <c r="E46" s="343"/>
      <c r="F46" s="344">
        <f>F45/$B$45</f>
        <v>0.10984093219071209</v>
      </c>
      <c r="H46" s="333"/>
    </row>
    <row r="47" spans="1:14" ht="27" customHeight="1" x14ac:dyDescent="0.4">
      <c r="A47" s="487"/>
      <c r="B47" s="488"/>
      <c r="C47" s="345" t="s">
        <v>128</v>
      </c>
      <c r="D47" s="346">
        <v>0.13</v>
      </c>
      <c r="E47" s="347"/>
      <c r="F47" s="343"/>
      <c r="H47" s="333"/>
    </row>
    <row r="48" spans="1:14" ht="18.75" x14ac:dyDescent="0.3">
      <c r="C48" s="348" t="s">
        <v>80</v>
      </c>
      <c r="D48" s="340">
        <f>D47*$B$45</f>
        <v>16.25</v>
      </c>
      <c r="F48" s="349"/>
      <c r="H48" s="333"/>
    </row>
    <row r="49" spans="1:12" ht="19.5" customHeight="1" x14ac:dyDescent="0.3">
      <c r="C49" s="350" t="s">
        <v>81</v>
      </c>
      <c r="D49" s="351">
        <f>D48/B34</f>
        <v>21.202457895718101</v>
      </c>
      <c r="F49" s="349"/>
      <c r="H49" s="333"/>
    </row>
    <row r="50" spans="1:12" ht="18.75" x14ac:dyDescent="0.3">
      <c r="C50" s="305" t="s">
        <v>82</v>
      </c>
      <c r="D50" s="352">
        <f>AVERAGE(E38:E41,G38:G41)</f>
        <v>34525803.739282943</v>
      </c>
      <c r="F50" s="353"/>
      <c r="H50" s="333"/>
    </row>
    <row r="51" spans="1:12" ht="18.75" x14ac:dyDescent="0.3">
      <c r="C51" s="307" t="s">
        <v>83</v>
      </c>
      <c r="D51" s="354">
        <f>STDEV(E38:E41,G38:G41)/D50</f>
        <v>6.1591669558450661E-3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84</v>
      </c>
    </row>
    <row r="55" spans="1:12" ht="18.75" x14ac:dyDescent="0.3">
      <c r="A55" s="282" t="s">
        <v>85</v>
      </c>
      <c r="B55" s="359" t="str">
        <f>B21</f>
        <v>Each tablet contains Clopidrogel 75 mg</v>
      </c>
    </row>
    <row r="56" spans="1:12" ht="26.25" customHeight="1" x14ac:dyDescent="0.4">
      <c r="A56" s="360" t="s">
        <v>86</v>
      </c>
      <c r="B56" s="361">
        <v>75</v>
      </c>
      <c r="C56" s="282" t="str">
        <f>B20</f>
        <v>Clopidogrel</v>
      </c>
      <c r="H56" s="362"/>
    </row>
    <row r="57" spans="1:12" ht="18.75" x14ac:dyDescent="0.3">
      <c r="A57" s="359" t="s">
        <v>87</v>
      </c>
      <c r="B57" s="451">
        <f>Uniformity!C46</f>
        <v>134.14349999999999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129</v>
      </c>
      <c r="B59" s="306">
        <v>50</v>
      </c>
      <c r="C59" s="282"/>
      <c r="D59" s="363" t="s">
        <v>130</v>
      </c>
      <c r="E59" s="364" t="s">
        <v>62</v>
      </c>
      <c r="F59" s="364" t="s">
        <v>63</v>
      </c>
      <c r="G59" s="364" t="s">
        <v>131</v>
      </c>
      <c r="H59" s="309" t="s">
        <v>132</v>
      </c>
      <c r="L59" s="295"/>
    </row>
    <row r="60" spans="1:12" s="14" customFormat="1" ht="26.25" customHeight="1" x14ac:dyDescent="0.4">
      <c r="A60" s="307" t="s">
        <v>133</v>
      </c>
      <c r="B60" s="308">
        <v>4</v>
      </c>
      <c r="C60" s="501" t="s">
        <v>134</v>
      </c>
      <c r="D60" s="504">
        <v>133.31</v>
      </c>
      <c r="E60" s="365">
        <v>1</v>
      </c>
      <c r="F60" s="366">
        <v>32135772</v>
      </c>
      <c r="G60" s="452">
        <f>IF(ISBLANK(F60),"-",(F60/$D$50*$D$47*$B$68)*($B$57/$D$60))</f>
        <v>76.098345522526415</v>
      </c>
      <c r="H60" s="367">
        <f t="shared" ref="H60:H71" si="0">IF(ISBLANK(F60),"-",G60/$B$56)</f>
        <v>1.014644606967019</v>
      </c>
      <c r="L60" s="295"/>
    </row>
    <row r="61" spans="1:12" s="14" customFormat="1" ht="26.25" customHeight="1" x14ac:dyDescent="0.4">
      <c r="A61" s="307" t="s">
        <v>114</v>
      </c>
      <c r="B61" s="308">
        <v>50</v>
      </c>
      <c r="C61" s="502"/>
      <c r="D61" s="505"/>
      <c r="E61" s="368">
        <v>2</v>
      </c>
      <c r="F61" s="320">
        <v>31870028</v>
      </c>
      <c r="G61" s="453">
        <f>IF(ISBLANK(F61),"-",(F61/$D$50*$D$47*$B$68)*($B$57/$D$60))</f>
        <v>75.469056805499847</v>
      </c>
      <c r="H61" s="369">
        <f t="shared" si="0"/>
        <v>1.0062540907399979</v>
      </c>
      <c r="L61" s="295"/>
    </row>
    <row r="62" spans="1:12" s="14" customFormat="1" ht="26.25" customHeight="1" x14ac:dyDescent="0.4">
      <c r="A62" s="307" t="s">
        <v>115</v>
      </c>
      <c r="B62" s="308">
        <v>1</v>
      </c>
      <c r="C62" s="502"/>
      <c r="D62" s="505"/>
      <c r="E62" s="368">
        <v>3</v>
      </c>
      <c r="F62" s="370">
        <v>31974978</v>
      </c>
      <c r="G62" s="453">
        <f>IF(ISBLANK(F62),"-",(F62/$D$50*$D$47*$B$68)*($B$57/$D$60))</f>
        <v>75.717581140393349</v>
      </c>
      <c r="H62" s="369">
        <f t="shared" si="0"/>
        <v>1.0095677485385779</v>
      </c>
      <c r="L62" s="295"/>
    </row>
    <row r="63" spans="1:12" ht="27" customHeight="1" x14ac:dyDescent="0.4">
      <c r="A63" s="307" t="s">
        <v>116</v>
      </c>
      <c r="B63" s="308">
        <v>1</v>
      </c>
      <c r="C63" s="511"/>
      <c r="D63" s="506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117</v>
      </c>
      <c r="B64" s="308">
        <v>1</v>
      </c>
      <c r="C64" s="501" t="s">
        <v>135</v>
      </c>
      <c r="D64" s="504">
        <v>132.62</v>
      </c>
      <c r="E64" s="365">
        <v>1</v>
      </c>
      <c r="F64" s="366">
        <v>32489094</v>
      </c>
      <c r="G64" s="454">
        <f>IF(ISBLANK(F64),"-",(F64/$D$50*$D$47*$B$68)*($B$57/$D$64))</f>
        <v>77.335301459844942</v>
      </c>
      <c r="H64" s="373">
        <f t="shared" si="0"/>
        <v>1.0311373527979326</v>
      </c>
    </row>
    <row r="65" spans="1:8" ht="26.25" customHeight="1" x14ac:dyDescent="0.4">
      <c r="A65" s="307" t="s">
        <v>118</v>
      </c>
      <c r="B65" s="308">
        <v>1</v>
      </c>
      <c r="C65" s="502"/>
      <c r="D65" s="505"/>
      <c r="E65" s="368">
        <v>2</v>
      </c>
      <c r="F65" s="320">
        <v>32506178</v>
      </c>
      <c r="G65" s="455">
        <f>IF(ISBLANK(F65),"-",(F65/$D$50*$D$47*$B$68)*($B$57/$D$64))</f>
        <v>77.37596729959229</v>
      </c>
      <c r="H65" s="374">
        <f t="shared" si="0"/>
        <v>1.031679563994564</v>
      </c>
    </row>
    <row r="66" spans="1:8" ht="26.25" customHeight="1" x14ac:dyDescent="0.4">
      <c r="A66" s="307" t="s">
        <v>119</v>
      </c>
      <c r="B66" s="308">
        <v>1</v>
      </c>
      <c r="C66" s="502"/>
      <c r="D66" s="505"/>
      <c r="E66" s="368">
        <v>3</v>
      </c>
      <c r="F66" s="320">
        <v>32644782</v>
      </c>
      <c r="G66" s="455">
        <f>IF(ISBLANK(F66),"-",(F66/$D$50*$D$47*$B$68)*($B$57/$D$64))</f>
        <v>77.705892847024899</v>
      </c>
      <c r="H66" s="374">
        <f t="shared" si="0"/>
        <v>1.0360785712936653</v>
      </c>
    </row>
    <row r="67" spans="1:8" ht="27" customHeight="1" x14ac:dyDescent="0.4">
      <c r="A67" s="307" t="s">
        <v>120</v>
      </c>
      <c r="B67" s="308">
        <v>1</v>
      </c>
      <c r="C67" s="511"/>
      <c r="D67" s="506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121</v>
      </c>
      <c r="B68" s="376">
        <f>(B67/B66)*(B65/B64)*(B63/B62)*(B61/B60)*B59</f>
        <v>625</v>
      </c>
      <c r="C68" s="501" t="s">
        <v>136</v>
      </c>
      <c r="D68" s="504">
        <v>135.43</v>
      </c>
      <c r="E68" s="365">
        <v>1</v>
      </c>
      <c r="F68" s="366">
        <v>33181258</v>
      </c>
      <c r="G68" s="454">
        <f>IF(ISBLANK(F68),"-",(F68/$D$50*$D$47*$B$68)*($B$57/$D$68))</f>
        <v>77.344097221421066</v>
      </c>
      <c r="H68" s="369">
        <f t="shared" si="0"/>
        <v>1.0312546296189475</v>
      </c>
    </row>
    <row r="69" spans="1:8" ht="27" customHeight="1" x14ac:dyDescent="0.4">
      <c r="A69" s="355" t="s">
        <v>137</v>
      </c>
      <c r="B69" s="377">
        <f>(D47*B68)/B56*B57</f>
        <v>145.32212499999997</v>
      </c>
      <c r="C69" s="502"/>
      <c r="D69" s="505"/>
      <c r="E69" s="368">
        <v>2</v>
      </c>
      <c r="F69" s="320">
        <v>33089836</v>
      </c>
      <c r="G69" s="455">
        <f>IF(ISBLANK(F69),"-",(F69/$D$50*$D$47*$B$68)*($B$57/$D$68))</f>
        <v>77.130996438558142</v>
      </c>
      <c r="H69" s="369">
        <f t="shared" si="0"/>
        <v>1.028413285847442</v>
      </c>
    </row>
    <row r="70" spans="1:8" ht="26.25" customHeight="1" x14ac:dyDescent="0.4">
      <c r="A70" s="507" t="s">
        <v>77</v>
      </c>
      <c r="B70" s="508"/>
      <c r="C70" s="502"/>
      <c r="D70" s="505"/>
      <c r="E70" s="368">
        <v>3</v>
      </c>
      <c r="F70" s="320">
        <v>33041284</v>
      </c>
      <c r="G70" s="455">
        <f>IF(ISBLANK(F70),"-",(F70/$D$50*$D$47*$B$68)*($B$57/$D$68))</f>
        <v>77.01782379729498</v>
      </c>
      <c r="H70" s="369">
        <f t="shared" si="0"/>
        <v>1.0269043172972665</v>
      </c>
    </row>
    <row r="71" spans="1:8" ht="27" customHeight="1" x14ac:dyDescent="0.4">
      <c r="A71" s="509"/>
      <c r="B71" s="510"/>
      <c r="C71" s="503"/>
      <c r="D71" s="506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70</v>
      </c>
      <c r="G72" s="461">
        <f>AVERAGE(G60:G71)</f>
        <v>76.799451392461776</v>
      </c>
      <c r="H72" s="382">
        <f>AVERAGE(H60:H71)</f>
        <v>1.0239926852328236</v>
      </c>
    </row>
    <row r="73" spans="1:8" ht="26.25" customHeight="1" x14ac:dyDescent="0.4">
      <c r="C73" s="379"/>
      <c r="D73" s="379"/>
      <c r="E73" s="379"/>
      <c r="F73" s="383" t="s">
        <v>83</v>
      </c>
      <c r="G73" s="457">
        <f>STDEV(G60:G71)/G72</f>
        <v>1.0625558727241148E-2</v>
      </c>
      <c r="H73" s="457">
        <f>STDEV(H60:H71)/H72</f>
        <v>1.0625558727241175E-2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20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138</v>
      </c>
      <c r="B76" s="387" t="s">
        <v>96</v>
      </c>
      <c r="C76" s="492" t="str">
        <f>B20</f>
        <v>Clopidogrel</v>
      </c>
      <c r="D76" s="492"/>
      <c r="E76" s="388" t="s">
        <v>97</v>
      </c>
      <c r="F76" s="388"/>
      <c r="G76" s="389">
        <f>H72</f>
        <v>1.0239926852328236</v>
      </c>
      <c r="H76" s="390"/>
    </row>
    <row r="77" spans="1:8" ht="18.75" x14ac:dyDescent="0.3">
      <c r="A77" s="290" t="s">
        <v>104</v>
      </c>
      <c r="B77" s="290" t="s">
        <v>105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477" t="str">
        <f>B26</f>
        <v>Clopidogrel</v>
      </c>
      <c r="C79" s="477"/>
    </row>
    <row r="80" spans="1:8" ht="26.25" customHeight="1" x14ac:dyDescent="0.4">
      <c r="A80" s="292" t="s">
        <v>48</v>
      </c>
      <c r="B80" s="477" t="str">
        <f>B27</f>
        <v>C13-1</v>
      </c>
      <c r="C80" s="477"/>
    </row>
    <row r="81" spans="1:12" ht="27" customHeight="1" x14ac:dyDescent="0.4">
      <c r="A81" s="292" t="s">
        <v>6</v>
      </c>
      <c r="B81" s="391">
        <f>B28</f>
        <v>99.14</v>
      </c>
    </row>
    <row r="82" spans="1:12" s="14" customFormat="1" ht="27" customHeight="1" x14ac:dyDescent="0.4">
      <c r="A82" s="292" t="s">
        <v>49</v>
      </c>
      <c r="B82" s="294">
        <v>0</v>
      </c>
      <c r="C82" s="497" t="s">
        <v>106</v>
      </c>
      <c r="D82" s="498"/>
      <c r="E82" s="498"/>
      <c r="F82" s="498"/>
      <c r="G82" s="499"/>
      <c r="I82" s="295"/>
      <c r="J82" s="295"/>
      <c r="K82" s="295"/>
      <c r="L82" s="295"/>
    </row>
    <row r="83" spans="1:12" s="14" customFormat="1" ht="19.5" customHeight="1" x14ac:dyDescent="0.3">
      <c r="A83" s="292" t="s">
        <v>51</v>
      </c>
      <c r="B83" s="296">
        <f>B81-B82</f>
        <v>99.14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52</v>
      </c>
      <c r="B84" s="299">
        <v>321.82</v>
      </c>
      <c r="C84" s="479" t="s">
        <v>139</v>
      </c>
      <c r="D84" s="480"/>
      <c r="E84" s="480"/>
      <c r="F84" s="480"/>
      <c r="G84" s="480"/>
      <c r="H84" s="481"/>
      <c r="I84" s="295"/>
      <c r="J84" s="295"/>
      <c r="K84" s="295"/>
      <c r="L84" s="295"/>
    </row>
    <row r="85" spans="1:12" s="14" customFormat="1" ht="27" customHeight="1" x14ac:dyDescent="0.4">
      <c r="A85" s="292" t="s">
        <v>54</v>
      </c>
      <c r="B85" s="299">
        <v>419.9</v>
      </c>
      <c r="C85" s="479" t="s">
        <v>140</v>
      </c>
      <c r="D85" s="480"/>
      <c r="E85" s="480"/>
      <c r="F85" s="480"/>
      <c r="G85" s="480"/>
      <c r="H85" s="481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56</v>
      </c>
      <c r="B87" s="304">
        <f>B84/B85</f>
        <v>0.76642057632769711</v>
      </c>
      <c r="C87" s="282" t="s">
        <v>57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124</v>
      </c>
      <c r="B89" s="306">
        <v>25</v>
      </c>
      <c r="D89" s="392" t="s">
        <v>59</v>
      </c>
      <c r="E89" s="393"/>
      <c r="F89" s="482" t="s">
        <v>60</v>
      </c>
      <c r="G89" s="484"/>
    </row>
    <row r="90" spans="1:12" ht="27" customHeight="1" x14ac:dyDescent="0.4">
      <c r="A90" s="307" t="s">
        <v>61</v>
      </c>
      <c r="B90" s="308">
        <v>3</v>
      </c>
      <c r="C90" s="394" t="s">
        <v>62</v>
      </c>
      <c r="D90" s="310" t="s">
        <v>63</v>
      </c>
      <c r="E90" s="311" t="s">
        <v>64</v>
      </c>
      <c r="F90" s="310" t="s">
        <v>63</v>
      </c>
      <c r="G90" s="395" t="s">
        <v>64</v>
      </c>
      <c r="I90" s="313" t="s">
        <v>125</v>
      </c>
    </row>
    <row r="91" spans="1:12" ht="26.25" customHeight="1" x14ac:dyDescent="0.4">
      <c r="A91" s="307" t="s">
        <v>65</v>
      </c>
      <c r="B91" s="308">
        <v>25</v>
      </c>
      <c r="C91" s="396">
        <v>1</v>
      </c>
      <c r="D91" s="315">
        <v>18572987</v>
      </c>
      <c r="E91" s="316">
        <f>IF(ISBLANK(D91),"-",$D$101/$D$98*D91)</f>
        <v>22091023.417770721</v>
      </c>
      <c r="F91" s="315">
        <v>17826422</v>
      </c>
      <c r="G91" s="317">
        <f>IF(ISBLANK(F91),"-",$D$101/$F$98*F91)</f>
        <v>22540704.044150498</v>
      </c>
      <c r="I91" s="318"/>
    </row>
    <row r="92" spans="1:12" ht="26.25" customHeight="1" x14ac:dyDescent="0.4">
      <c r="A92" s="307" t="s">
        <v>66</v>
      </c>
      <c r="B92" s="308">
        <v>1</v>
      </c>
      <c r="C92" s="380">
        <v>2</v>
      </c>
      <c r="D92" s="320">
        <v>18406075</v>
      </c>
      <c r="E92" s="321">
        <f>IF(ISBLANK(D92),"-",$D$101/$D$98*D92)</f>
        <v>21892495.474973638</v>
      </c>
      <c r="F92" s="320">
        <v>17747789</v>
      </c>
      <c r="G92" s="322">
        <f>IF(ISBLANK(F92),"-",$D$101/$F$98*F92)</f>
        <v>22441276.173481684</v>
      </c>
      <c r="I92" s="500">
        <f>ABS((F96/D96*D95)-F95)/D95</f>
        <v>2.2702728839236571E-2</v>
      </c>
    </row>
    <row r="93" spans="1:12" ht="26.25" customHeight="1" x14ac:dyDescent="0.4">
      <c r="A93" s="307" t="s">
        <v>67</v>
      </c>
      <c r="B93" s="308">
        <v>1</v>
      </c>
      <c r="C93" s="380">
        <v>3</v>
      </c>
      <c r="D93" s="320">
        <v>18483695</v>
      </c>
      <c r="E93" s="321">
        <f>IF(ISBLANK(D93),"-",$D$101/$D$98*D93)</f>
        <v>21984818.009721946</v>
      </c>
      <c r="F93" s="320">
        <v>17856315</v>
      </c>
      <c r="G93" s="322">
        <f>IF(ISBLANK(F93),"-",$D$101/$F$98*F93)</f>
        <v>22578502.39011088</v>
      </c>
      <c r="I93" s="500"/>
    </row>
    <row r="94" spans="1:12" ht="27" customHeight="1" x14ac:dyDescent="0.4">
      <c r="A94" s="307" t="s">
        <v>68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69</v>
      </c>
      <c r="B95" s="308">
        <v>1</v>
      </c>
      <c r="C95" s="399" t="s">
        <v>70</v>
      </c>
      <c r="D95" s="400">
        <f>AVERAGE(D91:D94)</f>
        <v>18487585.666666668</v>
      </c>
      <c r="E95" s="331">
        <f>AVERAGE(E91:E94)</f>
        <v>21989445.634155437</v>
      </c>
      <c r="F95" s="401">
        <f>AVERAGE(F91:F94)</f>
        <v>17810175.333333332</v>
      </c>
      <c r="G95" s="402">
        <f>AVERAGE(G91:G94)</f>
        <v>22520160.869247686</v>
      </c>
    </row>
    <row r="96" spans="1:12" ht="26.25" customHeight="1" x14ac:dyDescent="0.4">
      <c r="A96" s="307" t="s">
        <v>71</v>
      </c>
      <c r="B96" s="293">
        <v>1</v>
      </c>
      <c r="C96" s="403" t="s">
        <v>72</v>
      </c>
      <c r="D96" s="404">
        <v>19.21</v>
      </c>
      <c r="E96" s="323"/>
      <c r="F96" s="335">
        <v>18.07</v>
      </c>
    </row>
    <row r="97" spans="1:10" ht="26.25" customHeight="1" x14ac:dyDescent="0.4">
      <c r="A97" s="307" t="s">
        <v>73</v>
      </c>
      <c r="B97" s="293">
        <v>1</v>
      </c>
      <c r="C97" s="405" t="s">
        <v>74</v>
      </c>
      <c r="D97" s="406">
        <f>D96*$B$87</f>
        <v>14.722939271255061</v>
      </c>
      <c r="E97" s="338"/>
      <c r="F97" s="337">
        <f>F96*$B$87</f>
        <v>13.849219814241486</v>
      </c>
    </row>
    <row r="98" spans="1:10" ht="19.5" customHeight="1" x14ac:dyDescent="0.3">
      <c r="A98" s="307" t="s">
        <v>75</v>
      </c>
      <c r="B98" s="407">
        <f>(B97/B96)*(B95/B94)*(B93/B92)*(B91/B90)*B89</f>
        <v>208.33333333333334</v>
      </c>
      <c r="C98" s="405" t="s">
        <v>141</v>
      </c>
      <c r="D98" s="408">
        <f>D97*$B$83/100</f>
        <v>14.596321993522267</v>
      </c>
      <c r="E98" s="341"/>
      <c r="F98" s="340">
        <f>F97*$B$83/100</f>
        <v>13.73011652383901</v>
      </c>
    </row>
    <row r="99" spans="1:10" ht="19.5" customHeight="1" x14ac:dyDescent="0.3">
      <c r="A99" s="485" t="s">
        <v>77</v>
      </c>
      <c r="B99" s="493"/>
      <c r="C99" s="405" t="s">
        <v>142</v>
      </c>
      <c r="D99" s="409">
        <f>D98/$B$98</f>
        <v>7.0062345568906878E-2</v>
      </c>
      <c r="E99" s="341"/>
      <c r="F99" s="344">
        <f>F98/$B$98</f>
        <v>6.590455931442725E-2</v>
      </c>
      <c r="G99" s="410"/>
      <c r="H99" s="333"/>
    </row>
    <row r="100" spans="1:10" ht="19.5" customHeight="1" x14ac:dyDescent="0.3">
      <c r="A100" s="487"/>
      <c r="B100" s="494"/>
      <c r="C100" s="405" t="s">
        <v>128</v>
      </c>
      <c r="D100" s="411">
        <f>$B$56/$B$116</f>
        <v>8.3333333333333329E-2</v>
      </c>
      <c r="F100" s="349"/>
      <c r="G100" s="412"/>
      <c r="H100" s="333"/>
    </row>
    <row r="101" spans="1:10" ht="18.75" x14ac:dyDescent="0.3">
      <c r="C101" s="405" t="s">
        <v>80</v>
      </c>
      <c r="D101" s="406">
        <f>D100*$B$98</f>
        <v>17.361111111111111</v>
      </c>
      <c r="F101" s="349"/>
      <c r="G101" s="410"/>
      <c r="H101" s="333"/>
    </row>
    <row r="102" spans="1:10" ht="19.5" customHeight="1" x14ac:dyDescent="0.3">
      <c r="C102" s="413" t="s">
        <v>81</v>
      </c>
      <c r="D102" s="414">
        <f>D101/B34</f>
        <v>22.652198606536434</v>
      </c>
      <c r="F102" s="353"/>
      <c r="G102" s="410"/>
      <c r="H102" s="333"/>
      <c r="J102" s="415"/>
    </row>
    <row r="103" spans="1:10" ht="18.75" x14ac:dyDescent="0.3">
      <c r="C103" s="416" t="s">
        <v>143</v>
      </c>
      <c r="D103" s="417">
        <f>AVERAGE(E91:E94,G91:G94)</f>
        <v>22254803.251701564</v>
      </c>
      <c r="F103" s="353"/>
      <c r="G103" s="418"/>
      <c r="H103" s="333"/>
      <c r="J103" s="419"/>
    </row>
    <row r="104" spans="1:10" ht="18.75" x14ac:dyDescent="0.3">
      <c r="C104" s="383" t="s">
        <v>83</v>
      </c>
      <c r="D104" s="420">
        <f>STDEV(E91:E94,G91:G94)/D103</f>
        <v>1.3514273101727562E-2</v>
      </c>
      <c r="F104" s="353"/>
      <c r="G104" s="410"/>
      <c r="H104" s="333"/>
      <c r="J104" s="419"/>
    </row>
    <row r="105" spans="1:10" ht="19.5" customHeight="1" x14ac:dyDescent="0.3">
      <c r="C105" s="385" t="s">
        <v>20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109</v>
      </c>
      <c r="B107" s="306">
        <v>900</v>
      </c>
      <c r="C107" s="422" t="s">
        <v>144</v>
      </c>
      <c r="D107" s="423" t="s">
        <v>63</v>
      </c>
      <c r="E107" s="424" t="s">
        <v>111</v>
      </c>
      <c r="F107" s="425" t="s">
        <v>112</v>
      </c>
    </row>
    <row r="108" spans="1:10" ht="26.25" customHeight="1" x14ac:dyDescent="0.4">
      <c r="A108" s="307" t="s">
        <v>113</v>
      </c>
      <c r="B108" s="308">
        <v>1</v>
      </c>
      <c r="C108" s="426">
        <v>1</v>
      </c>
      <c r="D108" s="427">
        <v>23268193</v>
      </c>
      <c r="E108" s="458">
        <f t="shared" ref="E108:E113" si="1">IF(ISBLANK(D108),"-",D108/$D$103*$D$100*$B$116)</f>
        <v>78.415183242142177</v>
      </c>
      <c r="F108" s="428">
        <f t="shared" ref="F108:F113" si="2">IF(ISBLANK(D108), "-", E108/$B$56)</f>
        <v>1.0455357765618958</v>
      </c>
    </row>
    <row r="109" spans="1:10" ht="26.25" customHeight="1" x14ac:dyDescent="0.4">
      <c r="A109" s="307" t="s">
        <v>114</v>
      </c>
      <c r="B109" s="308">
        <v>1</v>
      </c>
      <c r="C109" s="426">
        <v>2</v>
      </c>
      <c r="D109" s="427">
        <v>23041732</v>
      </c>
      <c r="E109" s="459">
        <f t="shared" si="1"/>
        <v>77.651996310857982</v>
      </c>
      <c r="F109" s="429">
        <f t="shared" si="2"/>
        <v>1.0353599508114397</v>
      </c>
    </row>
    <row r="110" spans="1:10" ht="26.25" customHeight="1" x14ac:dyDescent="0.4">
      <c r="A110" s="307" t="s">
        <v>115</v>
      </c>
      <c r="B110" s="308">
        <v>1</v>
      </c>
      <c r="C110" s="426">
        <v>3</v>
      </c>
      <c r="D110" s="427">
        <v>22474369</v>
      </c>
      <c r="E110" s="459">
        <f t="shared" si="1"/>
        <v>75.739949526227491</v>
      </c>
      <c r="F110" s="429">
        <f t="shared" si="2"/>
        <v>1.0098659936830332</v>
      </c>
    </row>
    <row r="111" spans="1:10" ht="26.25" customHeight="1" x14ac:dyDescent="0.4">
      <c r="A111" s="307" t="s">
        <v>116</v>
      </c>
      <c r="B111" s="308">
        <v>1</v>
      </c>
      <c r="C111" s="426">
        <v>4</v>
      </c>
      <c r="D111" s="427">
        <v>22754575</v>
      </c>
      <c r="E111" s="459">
        <f t="shared" si="1"/>
        <v>76.684260278486931</v>
      </c>
      <c r="F111" s="429">
        <f t="shared" si="2"/>
        <v>1.0224568037131592</v>
      </c>
    </row>
    <row r="112" spans="1:10" ht="26.25" customHeight="1" x14ac:dyDescent="0.4">
      <c r="A112" s="307" t="s">
        <v>117</v>
      </c>
      <c r="B112" s="308">
        <v>1</v>
      </c>
      <c r="C112" s="426">
        <v>5</v>
      </c>
      <c r="D112" s="427">
        <v>22941085</v>
      </c>
      <c r="E112" s="459">
        <f t="shared" si="1"/>
        <v>77.31280998264711</v>
      </c>
      <c r="F112" s="429">
        <f t="shared" si="2"/>
        <v>1.0308374664352948</v>
      </c>
    </row>
    <row r="113" spans="1:10" ht="26.25" customHeight="1" x14ac:dyDescent="0.4">
      <c r="A113" s="307" t="s">
        <v>118</v>
      </c>
      <c r="B113" s="308">
        <v>1</v>
      </c>
      <c r="C113" s="430">
        <v>6</v>
      </c>
      <c r="D113" s="431">
        <v>22944353</v>
      </c>
      <c r="E113" s="460">
        <f t="shared" si="1"/>
        <v>77.323823335460332</v>
      </c>
      <c r="F113" s="432">
        <f t="shared" si="2"/>
        <v>1.0309843111394712</v>
      </c>
    </row>
    <row r="114" spans="1:10" ht="26.25" customHeight="1" x14ac:dyDescent="0.4">
      <c r="A114" s="307" t="s">
        <v>119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120</v>
      </c>
      <c r="B115" s="308">
        <v>1</v>
      </c>
      <c r="C115" s="426"/>
      <c r="D115" s="434" t="s">
        <v>70</v>
      </c>
      <c r="E115" s="462">
        <f>AVERAGE(E108:E113)</f>
        <v>77.188003779303685</v>
      </c>
      <c r="F115" s="435">
        <f>AVERAGE(F108:F113)</f>
        <v>1.0291733837240491</v>
      </c>
    </row>
    <row r="116" spans="1:10" ht="27" customHeight="1" x14ac:dyDescent="0.4">
      <c r="A116" s="307" t="s">
        <v>121</v>
      </c>
      <c r="B116" s="339">
        <f>(B115/B114)*(B113/B112)*(B111/B110)*(B109/B108)*B107</f>
        <v>900</v>
      </c>
      <c r="C116" s="436"/>
      <c r="D116" s="399" t="s">
        <v>83</v>
      </c>
      <c r="E116" s="437">
        <f>STDEV(E108:E113)/E115</f>
        <v>1.1740035446482036E-2</v>
      </c>
      <c r="F116" s="437">
        <f>STDEV(F108:F113)/F115</f>
        <v>1.1740035446482054E-2</v>
      </c>
      <c r="I116" s="281"/>
    </row>
    <row r="117" spans="1:10" ht="27" customHeight="1" x14ac:dyDescent="0.4">
      <c r="A117" s="485" t="s">
        <v>77</v>
      </c>
      <c r="B117" s="486"/>
      <c r="C117" s="438"/>
      <c r="D117" s="439" t="s">
        <v>20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487"/>
      <c r="B118" s="488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138</v>
      </c>
      <c r="B120" s="387" t="s">
        <v>122</v>
      </c>
      <c r="C120" s="492" t="str">
        <f>B20</f>
        <v>Clopidogrel</v>
      </c>
      <c r="D120" s="492"/>
      <c r="E120" s="388" t="s">
        <v>123</v>
      </c>
      <c r="F120" s="388"/>
      <c r="G120" s="389">
        <f>F115</f>
        <v>1.0291733837240491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491" t="s">
        <v>26</v>
      </c>
      <c r="C122" s="491"/>
      <c r="E122" s="394" t="s">
        <v>27</v>
      </c>
      <c r="F122" s="443"/>
      <c r="G122" s="491" t="s">
        <v>28</v>
      </c>
      <c r="H122" s="491"/>
    </row>
    <row r="123" spans="1:10" ht="69.95" customHeight="1" x14ac:dyDescent="0.3">
      <c r="A123" s="444" t="s">
        <v>29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30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Uniformity</vt:lpstr>
      <vt:lpstr>Clopidogrel</vt:lpstr>
      <vt:lpstr>Clopidogrel 1</vt:lpstr>
      <vt:lpstr>Clopidogrel!Print_Area</vt:lpstr>
      <vt:lpstr>'Clopidogrel 1'!Print_Area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2016-06-28T05:40:06Z</cp:lastPrinted>
  <dcterms:created xsi:type="dcterms:W3CDTF">2005-07-05T10:19:27Z</dcterms:created>
  <dcterms:modified xsi:type="dcterms:W3CDTF">2016-06-28T05:40:40Z</dcterms:modified>
</cp:coreProperties>
</file>