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Uniformity" sheetId="2" r:id="rId2"/>
    <sheet name="Montelukast" sheetId="3" r:id="rId3"/>
    <sheet name="Montelukast 1" sheetId="4" r:id="rId4"/>
    <sheet name="Sheet1" sheetId="5" r:id="rId5"/>
  </sheets>
  <definedNames>
    <definedName name="_xlnm.Print_Area" localSheetId="2">Montelukast!$A$1:$I$127</definedName>
    <definedName name="_xlnm.Print_Area" localSheetId="3">'Montelukast 1'!$A$1:$H$133</definedName>
    <definedName name="_xlnm.Print_Area" localSheetId="0">SST!$A$15:$G$62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H37" i="5" l="1"/>
  <c r="H36" i="5"/>
  <c r="G37" i="5"/>
  <c r="G36" i="5"/>
  <c r="B42" i="1"/>
  <c r="B21" i="1"/>
  <c r="C129" i="4"/>
  <c r="B125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D109" i="4"/>
  <c r="D110" i="4" s="1"/>
  <c r="D111" i="4" s="1"/>
  <c r="B107" i="4"/>
  <c r="F104" i="4"/>
  <c r="D104" i="4"/>
  <c r="G103" i="4"/>
  <c r="E103" i="4"/>
  <c r="G102" i="4"/>
  <c r="E102" i="4"/>
  <c r="G101" i="4"/>
  <c r="E101" i="4"/>
  <c r="D112" i="4" s="1"/>
  <c r="D113" i="4" s="1"/>
  <c r="G100" i="4"/>
  <c r="E100" i="4"/>
  <c r="B96" i="4"/>
  <c r="F106" i="4" s="1"/>
  <c r="B91" i="4"/>
  <c r="B90" i="4"/>
  <c r="B89" i="4"/>
  <c r="C74" i="4"/>
  <c r="B67" i="4"/>
  <c r="C56" i="4"/>
  <c r="B55" i="4"/>
  <c r="B45" i="4"/>
  <c r="D48" i="4" s="1"/>
  <c r="F42" i="4"/>
  <c r="D42" i="4"/>
  <c r="G41" i="4"/>
  <c r="E41" i="4"/>
  <c r="B34" i="4"/>
  <c r="F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C19" i="2"/>
  <c r="B53" i="1"/>
  <c r="B52" i="1"/>
  <c r="B32" i="1"/>
  <c r="E30" i="1"/>
  <c r="D30" i="1"/>
  <c r="C30" i="1"/>
  <c r="B30" i="1"/>
  <c r="B31" i="1" s="1"/>
  <c r="E104" i="4" l="1"/>
  <c r="F124" i="4"/>
  <c r="G129" i="4" s="1"/>
  <c r="F45" i="4"/>
  <c r="F46" i="4" s="1"/>
  <c r="D44" i="4"/>
  <c r="D45" i="4" s="1"/>
  <c r="F107" i="4"/>
  <c r="F108" i="4" s="1"/>
  <c r="G104" i="4"/>
  <c r="E38" i="4"/>
  <c r="E40" i="4"/>
  <c r="D49" i="4"/>
  <c r="G38" i="4"/>
  <c r="I92" i="3"/>
  <c r="D101" i="3"/>
  <c r="D97" i="3"/>
  <c r="D98" i="3" s="1"/>
  <c r="I39" i="3"/>
  <c r="F45" i="3"/>
  <c r="G41" i="3" s="1"/>
  <c r="F46" i="3"/>
  <c r="B69" i="3"/>
  <c r="F98" i="3"/>
  <c r="D29" i="2"/>
  <c r="D26" i="2"/>
  <c r="D30" i="2"/>
  <c r="D34" i="2"/>
  <c r="D38" i="2"/>
  <c r="D42" i="2"/>
  <c r="B49" i="2"/>
  <c r="D50" i="2"/>
  <c r="D44" i="3"/>
  <c r="D45" i="3" s="1"/>
  <c r="E39" i="3" s="1"/>
  <c r="D49" i="3"/>
  <c r="D106" i="4"/>
  <c r="D107" i="4" s="1"/>
  <c r="D108" i="4" s="1"/>
  <c r="D114" i="4"/>
  <c r="F126" i="4"/>
  <c r="C50" i="2"/>
  <c r="D27" i="2"/>
  <c r="D31" i="2"/>
  <c r="D35" i="2"/>
  <c r="D39" i="2"/>
  <c r="D43" i="2"/>
  <c r="C49" i="2"/>
  <c r="B57" i="4"/>
  <c r="D25" i="2"/>
  <c r="D33" i="2"/>
  <c r="D37" i="2"/>
  <c r="D41" i="2"/>
  <c r="D24" i="2"/>
  <c r="D28" i="2"/>
  <c r="D32" i="2"/>
  <c r="D36" i="2"/>
  <c r="D40" i="2"/>
  <c r="D49" i="2"/>
  <c r="F125" i="4" l="1"/>
  <c r="G39" i="4"/>
  <c r="G40" i="4"/>
  <c r="D46" i="4"/>
  <c r="E39" i="4"/>
  <c r="E42" i="4" s="1"/>
  <c r="G42" i="4"/>
  <c r="G92" i="3"/>
  <c r="D102" i="3"/>
  <c r="G93" i="3"/>
  <c r="E91" i="3"/>
  <c r="E94" i="3"/>
  <c r="E92" i="3"/>
  <c r="G38" i="3"/>
  <c r="G40" i="3"/>
  <c r="G39" i="3"/>
  <c r="E38" i="3"/>
  <c r="D46" i="3"/>
  <c r="E40" i="3"/>
  <c r="G91" i="3"/>
  <c r="F99" i="3"/>
  <c r="E41" i="3"/>
  <c r="E93" i="3"/>
  <c r="D99" i="3"/>
  <c r="G94" i="3"/>
  <c r="D52" i="4" l="1"/>
  <c r="D50" i="4"/>
  <c r="G95" i="3"/>
  <c r="G42" i="3"/>
  <c r="D105" i="3"/>
  <c r="E95" i="3"/>
  <c r="D103" i="3"/>
  <c r="E113" i="3" s="1"/>
  <c r="F113" i="3" s="1"/>
  <c r="D52" i="3"/>
  <c r="D50" i="3"/>
  <c r="E42" i="3"/>
  <c r="D51" i="4" l="1"/>
  <c r="E61" i="4"/>
  <c r="E64" i="4"/>
  <c r="E65" i="4"/>
  <c r="E66" i="4"/>
  <c r="E63" i="4"/>
  <c r="G63" i="4" s="1"/>
  <c r="E59" i="4"/>
  <c r="E67" i="4"/>
  <c r="E68" i="4"/>
  <c r="E60" i="4"/>
  <c r="E62" i="4"/>
  <c r="D104" i="3"/>
  <c r="E108" i="3"/>
  <c r="E109" i="3"/>
  <c r="F109" i="3" s="1"/>
  <c r="E110" i="3"/>
  <c r="F110" i="3" s="1"/>
  <c r="E111" i="3"/>
  <c r="F111" i="3" s="1"/>
  <c r="E112" i="3"/>
  <c r="F112" i="3" s="1"/>
  <c r="D51" i="3"/>
  <c r="G71" i="3"/>
  <c r="H71" i="3" s="1"/>
  <c r="G66" i="3"/>
  <c r="H66" i="3" s="1"/>
  <c r="G62" i="3"/>
  <c r="H62" i="3" s="1"/>
  <c r="G70" i="3"/>
  <c r="H70" i="3" s="1"/>
  <c r="G67" i="3"/>
  <c r="H67" i="3" s="1"/>
  <c r="G65" i="3"/>
  <c r="H65" i="3" s="1"/>
  <c r="G63" i="3"/>
  <c r="H63" i="3" s="1"/>
  <c r="G61" i="3"/>
  <c r="H61" i="3" s="1"/>
  <c r="G69" i="3"/>
  <c r="H69" i="3" s="1"/>
  <c r="G64" i="3"/>
  <c r="H64" i="3" s="1"/>
  <c r="G60" i="3"/>
  <c r="G68" i="3"/>
  <c r="H68" i="3" s="1"/>
  <c r="G60" i="4" l="1"/>
  <c r="G61" i="4"/>
  <c r="G68" i="4"/>
  <c r="G66" i="4"/>
  <c r="G67" i="4"/>
  <c r="G65" i="4"/>
  <c r="G62" i="4"/>
  <c r="G59" i="4"/>
  <c r="E72" i="4"/>
  <c r="E70" i="4"/>
  <c r="F63" i="4" s="1"/>
  <c r="E71" i="4"/>
  <c r="G64" i="4"/>
  <c r="E117" i="3"/>
  <c r="F108" i="3"/>
  <c r="F117" i="3" s="1"/>
  <c r="E115" i="3"/>
  <c r="E116" i="3" s="1"/>
  <c r="G74" i="3"/>
  <c r="G72" i="3"/>
  <c r="G73" i="3" s="1"/>
  <c r="H60" i="3"/>
  <c r="F67" i="4" l="1"/>
  <c r="F62" i="4"/>
  <c r="F65" i="4"/>
  <c r="F66" i="4"/>
  <c r="F61" i="4"/>
  <c r="F68" i="4"/>
  <c r="F60" i="4"/>
  <c r="F64" i="4"/>
  <c r="G70" i="4"/>
  <c r="F59" i="4"/>
  <c r="G71" i="4"/>
  <c r="G72" i="4"/>
  <c r="C81" i="4"/>
  <c r="F115" i="3"/>
  <c r="G120" i="3" s="1"/>
  <c r="H74" i="3"/>
  <c r="H72" i="3"/>
  <c r="F70" i="4" l="1"/>
  <c r="F71" i="4" s="1"/>
  <c r="F72" i="4"/>
  <c r="C82" i="4"/>
  <c r="C79" i="4"/>
  <c r="G74" i="4"/>
  <c r="F116" i="3"/>
  <c r="G76" i="3"/>
  <c r="H73" i="3"/>
  <c r="C83" i="4" l="1"/>
</calcChain>
</file>

<file path=xl/sharedStrings.xml><?xml version="1.0" encoding="utf-8"?>
<sst xmlns="http://schemas.openxmlformats.org/spreadsheetml/2006/main" count="394" uniqueCount="151">
  <si>
    <t>HPLC System Suitability Report</t>
  </si>
  <si>
    <t>Analysis Data</t>
  </si>
  <si>
    <t>Assay</t>
  </si>
  <si>
    <t>Sample(s)</t>
  </si>
  <si>
    <t>Reference Substance:</t>
  </si>
  <si>
    <t>MYDAWA MONTELUKAST 10 MG</t>
  </si>
  <si>
    <t>% age Purity:</t>
  </si>
  <si>
    <t>NDQD2016061208</t>
  </si>
  <si>
    <t>Weight (mg):</t>
  </si>
  <si>
    <t>Montelukast Sodium</t>
  </si>
  <si>
    <t>Standard Conc (mg/mL):</t>
  </si>
  <si>
    <t>Each tablet contains Montelukast 10 mg</t>
  </si>
  <si>
    <t>2016-06-23 14:41:15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</si>
  <si>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</si>
  <si>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</si>
  <si>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</si>
  <si>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</si>
  <si>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</si>
  <si>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</si>
  <si>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</si>
  <si>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</si>
  <si>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</si>
  <si>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</si>
  <si>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</si>
  <si>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</si>
  <si>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</si>
  <si>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</si>
  <si>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</si>
  <si>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</si>
  <si>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</si>
  <si>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</si>
  <si>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</si>
  <si>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</si>
  <si>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</si>
  <si>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</si>
  <si>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</si>
  <si>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</si>
  <si>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</si>
  <si>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</si>
  <si>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</si>
  <si>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</si>
  <si>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</si>
  <si>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</si>
  <si>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</si>
  <si>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</si>
  <si>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</si>
  <si>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</si>
  <si>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</si>
  <si>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</si>
  <si>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</si>
  <si>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</si>
  <si>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</si>
  <si>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</si>
  <si>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</si>
  <si>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</si>
  <si>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</si>
  <si>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</si>
  <si>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</si>
  <si>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</si>
  <si>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</si>
  <si>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</si>
  <si>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</si>
  <si>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</si>
  <si>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</si>
  <si>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</si>
  <si>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</si>
  <si>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</si>
  <si>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</si>
  <si>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</si>
  <si>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</si>
  <si>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</si>
  <si>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</si>
  <si>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</si>
  <si>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</si>
  <si>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</si>
  <si>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</si>
  <si>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</si>
  <si>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</si>
  <si>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</si>
  <si>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</si>
  <si>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</si>
  <si>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</si>
  <si>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</si>
  <si>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</si>
  <si>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</si>
  <si>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</si>
  <si>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</si>
  <si>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</si>
  <si>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</si>
  <si>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</si>
  <si>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</si>
  <si>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</si>
  <si>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</si>
  <si>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</si>
  <si>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</si>
  <si>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</si>
  <si>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</si>
  <si>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</si>
  <si>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</si>
  <si>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</si>
  <si>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</si>
  <si>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</si>
  <si>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</si>
  <si>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</si>
  <si>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</si>
  <si>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</si>
  <si>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</si>
  <si>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</si>
  <si>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</si>
  <si>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</si>
  <si>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</si>
  <si>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</si>
  <si>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</si>
  <si>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</si>
  <si>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</si>
  <si>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</si>
  <si>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</si>
  <si>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</si>
  <si>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</si>
  <si>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</si>
  <si>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</si>
  <si>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</si>
  <si>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</si>
  <si>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</si>
  <si>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</si>
  <si>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</si>
  <si>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</si>
  <si>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</si>
  <si>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</si>
  <si>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</si>
  <si>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</si>
  <si>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</si>
  <si>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</si>
  <si>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</si>
  <si>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</si>
  <si>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</si>
  <si>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</si>
  <si>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</si>
  <si>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</si>
  <si>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</si>
  <si>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</si>
  <si>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</si>
  <si>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</si>
  <si>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</si>
  <si>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</si>
  <si>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 xml:space="preserve">Montelukast </t>
  </si>
  <si>
    <t>M6-6</t>
  </si>
  <si>
    <t>Each Tablet contains Montelukast 10mg</t>
  </si>
  <si>
    <t xml:space="preserve">    Montelukast Sodium</t>
  </si>
  <si>
    <t>RUTTO/JOYFRIDA</t>
  </si>
  <si>
    <t>30/06/2016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</si>
</sst>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9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59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0" xfId="0" applyFont="1" applyFill="1" applyBorder="1" applyAlignment="1">
      <alignment horizontal="center"/>
    </xf>
    <xf numFmtId="0" fontId="12" fillId="7" borderId="54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5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61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2" fontId="13" fillId="5" borderId="62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7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1" fontId="11" fillId="2" borderId="4" xfId="0" applyNumberFormat="1" applyFont="1" applyFill="1" applyBorder="1" applyAlignment="1">
      <alignment horizontal="center"/>
    </xf>
    <xf numFmtId="0" fontId="13" fillId="3" borderId="48" xfId="0" applyFont="1" applyFill="1" applyBorder="1" applyAlignment="1" applyProtection="1">
      <alignment horizontal="center"/>
      <protection locked="0"/>
    </xf>
    <xf numFmtId="171" fontId="11" fillId="2" borderId="3" xfId="0" applyNumberFormat="1" applyFont="1" applyFill="1" applyBorder="1" applyAlignment="1">
      <alignment horizontal="center"/>
    </xf>
    <xf numFmtId="171" fontId="13" fillId="3" borderId="0" xfId="0" applyNumberFormat="1" applyFont="1" applyFill="1" applyAlignment="1" applyProtection="1">
      <alignment horizontal="center"/>
      <protection locked="0"/>
    </xf>
    <xf numFmtId="171" fontId="11" fillId="2" borderId="5" xfId="0" applyNumberFormat="1" applyFont="1" applyFill="1" applyBorder="1" applyAlignment="1">
      <alignment horizontal="center"/>
    </xf>
    <xf numFmtId="171" fontId="13" fillId="3" borderId="7" xfId="0" applyNumberFormat="1" applyFont="1" applyFill="1" applyBorder="1" applyAlignment="1" applyProtection="1">
      <alignment horizontal="center"/>
      <protection locked="0"/>
    </xf>
    <xf numFmtId="17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63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4" fillId="3" borderId="4" xfId="0" applyFont="1" applyFill="1" applyBorder="1" applyAlignment="1" applyProtection="1">
      <alignment horizontal="center" wrapText="1"/>
      <protection locked="0"/>
    </xf>
    <xf numFmtId="0" fontId="14" fillId="3" borderId="3" xfId="0" applyFont="1" applyFill="1" applyBorder="1" applyAlignment="1" applyProtection="1">
      <alignment horizontal="center" wrapText="1"/>
      <protection locked="0"/>
    </xf>
    <xf numFmtId="0" fontId="14" fillId="3" borderId="6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2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18" sqref="D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148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98.2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26.95</v>
      </c>
      <c r="C20" s="10"/>
      <c r="D20" s="10"/>
      <c r="E20" s="10"/>
    </row>
    <row r="21" spans="1:6" ht="16.5" customHeight="1" x14ac:dyDescent="0.3">
      <c r="A21" s="7" t="s">
        <v>10</v>
      </c>
      <c r="B21" s="13">
        <f>26.95/50*5/50</f>
        <v>5.3900000000000003E-2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29445860</v>
      </c>
      <c r="C24" s="18">
        <v>6457.79</v>
      </c>
      <c r="D24" s="19">
        <v>1.07</v>
      </c>
      <c r="E24" s="20">
        <v>9.49</v>
      </c>
    </row>
    <row r="25" spans="1:6" ht="16.5" customHeight="1" x14ac:dyDescent="0.3">
      <c r="A25" s="17">
        <v>2</v>
      </c>
      <c r="B25" s="18">
        <v>29380145</v>
      </c>
      <c r="C25" s="18">
        <v>6478.14</v>
      </c>
      <c r="D25" s="19">
        <v>1.07</v>
      </c>
      <c r="E25" s="19">
        <v>9.48</v>
      </c>
    </row>
    <row r="26" spans="1:6" ht="16.5" customHeight="1" x14ac:dyDescent="0.3">
      <c r="A26" s="17">
        <v>3</v>
      </c>
      <c r="B26" s="18">
        <v>29416208</v>
      </c>
      <c r="C26" s="18">
        <v>6530.1</v>
      </c>
      <c r="D26" s="19">
        <v>1.06</v>
      </c>
      <c r="E26" s="19">
        <v>9.48</v>
      </c>
    </row>
    <row r="27" spans="1:6" ht="16.5" customHeight="1" x14ac:dyDescent="0.3">
      <c r="A27" s="17">
        <v>4</v>
      </c>
      <c r="B27" s="18">
        <v>29493605</v>
      </c>
      <c r="C27" s="18">
        <v>6513.17</v>
      </c>
      <c r="D27" s="19">
        <v>1.05</v>
      </c>
      <c r="E27" s="19">
        <v>9.48</v>
      </c>
    </row>
    <row r="28" spans="1:6" ht="16.5" customHeight="1" x14ac:dyDescent="0.3">
      <c r="A28" s="17">
        <v>5</v>
      </c>
      <c r="B28" s="18">
        <v>29457533</v>
      </c>
      <c r="C28" s="18">
        <v>6488.42</v>
      </c>
      <c r="D28" s="19">
        <v>1.06</v>
      </c>
      <c r="E28" s="19">
        <v>9.48</v>
      </c>
    </row>
    <row r="29" spans="1:6" ht="16.5" customHeight="1" x14ac:dyDescent="0.3">
      <c r="A29" s="17">
        <v>6</v>
      </c>
      <c r="B29" s="21">
        <v>29384038</v>
      </c>
      <c r="C29" s="21">
        <v>6545.98</v>
      </c>
      <c r="D29" s="22">
        <v>1.05</v>
      </c>
      <c r="E29" s="22">
        <v>9.48</v>
      </c>
    </row>
    <row r="30" spans="1:6" ht="16.5" customHeight="1" x14ac:dyDescent="0.3">
      <c r="A30" s="23" t="s">
        <v>18</v>
      </c>
      <c r="B30" s="24">
        <f>AVERAGE(B24:B29)</f>
        <v>29429564.833333332</v>
      </c>
      <c r="C30" s="25">
        <f>AVERAGE(C24:C29)</f>
        <v>6502.2666666666655</v>
      </c>
      <c r="D30" s="26">
        <f>AVERAGE(D24:D29)</f>
        <v>1.06</v>
      </c>
      <c r="E30" s="26">
        <f>AVERAGE(E24:E29)</f>
        <v>9.4816666666666674</v>
      </c>
    </row>
    <row r="31" spans="1:6" ht="16.5" customHeight="1" x14ac:dyDescent="0.3">
      <c r="A31" s="27" t="s">
        <v>19</v>
      </c>
      <c r="B31" s="28">
        <f>(STDEV(B24:B29)/B30)</f>
        <v>1.5075776987748841E-3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98.2</v>
      </c>
      <c r="C40" s="10"/>
      <c r="D40" s="10"/>
      <c r="E40" s="10"/>
    </row>
    <row r="41" spans="1:6" ht="16.5" customHeight="1" x14ac:dyDescent="0.3">
      <c r="A41" s="7" t="s">
        <v>8</v>
      </c>
      <c r="B41" s="12">
        <v>26.95</v>
      </c>
      <c r="C41" s="10"/>
      <c r="D41" s="10"/>
      <c r="E41" s="10"/>
    </row>
    <row r="42" spans="1:6" ht="16.5" customHeight="1" x14ac:dyDescent="0.3">
      <c r="A42" s="7" t="s">
        <v>10</v>
      </c>
      <c r="B42" s="13">
        <f>26.95/50*5/50</f>
        <v>5.3900000000000003E-2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29445860</v>
      </c>
      <c r="C45" s="18">
        <v>6457.79</v>
      </c>
      <c r="D45" s="19">
        <v>1.07</v>
      </c>
      <c r="E45" s="20">
        <v>9.49</v>
      </c>
    </row>
    <row r="46" spans="1:6" ht="16.5" customHeight="1" x14ac:dyDescent="0.3">
      <c r="A46" s="17">
        <v>2</v>
      </c>
      <c r="B46" s="18">
        <v>29380145</v>
      </c>
      <c r="C46" s="18">
        <v>6478.14</v>
      </c>
      <c r="D46" s="19">
        <v>1.07</v>
      </c>
      <c r="E46" s="19">
        <v>9.48</v>
      </c>
    </row>
    <row r="47" spans="1:6" ht="16.5" customHeight="1" x14ac:dyDescent="0.3">
      <c r="A47" s="17">
        <v>3</v>
      </c>
      <c r="B47" s="18">
        <v>29416208</v>
      </c>
      <c r="C47" s="18">
        <v>6530.1</v>
      </c>
      <c r="D47" s="19">
        <v>1.06</v>
      </c>
      <c r="E47" s="19">
        <v>9.48</v>
      </c>
    </row>
    <row r="48" spans="1:6" ht="16.5" customHeight="1" x14ac:dyDescent="0.3">
      <c r="A48" s="17">
        <v>4</v>
      </c>
      <c r="B48" s="18">
        <v>29493605</v>
      </c>
      <c r="C48" s="18">
        <v>6513.17</v>
      </c>
      <c r="D48" s="19">
        <v>1.05</v>
      </c>
      <c r="E48" s="19">
        <v>9.48</v>
      </c>
    </row>
    <row r="49" spans="1:7" ht="16.5" customHeight="1" x14ac:dyDescent="0.3">
      <c r="A49" s="17">
        <v>5</v>
      </c>
      <c r="B49" s="18">
        <v>29457533</v>
      </c>
      <c r="C49" s="18">
        <v>6488.42</v>
      </c>
      <c r="D49" s="19">
        <v>1.06</v>
      </c>
      <c r="E49" s="19">
        <v>9.48</v>
      </c>
    </row>
    <row r="50" spans="1:7" ht="16.5" customHeight="1" x14ac:dyDescent="0.3">
      <c r="A50" s="17">
        <v>6</v>
      </c>
      <c r="B50" s="21">
        <v>29384038</v>
      </c>
      <c r="C50" s="21">
        <v>6545.98</v>
      </c>
      <c r="D50" s="22">
        <v>1.05</v>
      </c>
      <c r="E50" s="22">
        <v>9.48</v>
      </c>
    </row>
    <row r="51" spans="1:7" ht="16.5" customHeight="1" x14ac:dyDescent="0.3">
      <c r="A51" s="23" t="s">
        <v>18</v>
      </c>
      <c r="B51" s="24">
        <v>29429564.833333332</v>
      </c>
      <c r="C51" s="25">
        <v>6502.2666666666655</v>
      </c>
      <c r="D51" s="26">
        <v>1.06</v>
      </c>
      <c r="E51" s="26">
        <v>9.4816666666666674</v>
      </c>
    </row>
    <row r="52" spans="1:7" ht="16.5" customHeight="1" x14ac:dyDescent="0.3">
      <c r="A52" s="27" t="s">
        <v>19</v>
      </c>
      <c r="B52" s="28">
        <f>(STDEV(B45:B50)/B51)</f>
        <v>1.5075776987748841E-3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149</v>
      </c>
      <c r="C60" s="48"/>
      <c r="E60" s="48" t="s">
        <v>150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190.25</v>
      </c>
      <c r="D24" s="87">
        <f t="shared" ref="D24:D43" si="0">(C24-$C$46)/$C$46</f>
        <v>-2.3384806181996493E-4</v>
      </c>
      <c r="E24" s="53"/>
    </row>
    <row r="25" spans="1:5" ht="15.75" customHeight="1" x14ac:dyDescent="0.3">
      <c r="C25" s="95">
        <v>190.35</v>
      </c>
      <c r="D25" s="88">
        <f t="shared" si="0"/>
        <v>2.9165320069678841E-4</v>
      </c>
      <c r="E25" s="53"/>
    </row>
    <row r="26" spans="1:5" ht="15.75" customHeight="1" x14ac:dyDescent="0.3">
      <c r="C26" s="95">
        <v>190.43</v>
      </c>
      <c r="D26" s="88">
        <f t="shared" si="0"/>
        <v>7.1205421071028065E-4</v>
      </c>
      <c r="E26" s="53"/>
    </row>
    <row r="27" spans="1:5" ht="15.75" customHeight="1" x14ac:dyDescent="0.3">
      <c r="C27" s="95">
        <v>189.78</v>
      </c>
      <c r="D27" s="88">
        <f t="shared" si="0"/>
        <v>-2.7037039956488399E-3</v>
      </c>
      <c r="E27" s="53"/>
    </row>
    <row r="28" spans="1:5" ht="15.75" customHeight="1" x14ac:dyDescent="0.3">
      <c r="C28" s="95">
        <v>190.07</v>
      </c>
      <c r="D28" s="88">
        <f t="shared" si="0"/>
        <v>-1.1797503343502105E-3</v>
      </c>
      <c r="E28" s="53"/>
    </row>
    <row r="29" spans="1:5" ht="15.75" customHeight="1" x14ac:dyDescent="0.3">
      <c r="C29" s="95">
        <v>186.27</v>
      </c>
      <c r="D29" s="88">
        <f t="shared" si="0"/>
        <v>-2.1148798309987882E-2</v>
      </c>
      <c r="E29" s="53"/>
    </row>
    <row r="30" spans="1:5" ht="15.75" customHeight="1" x14ac:dyDescent="0.3">
      <c r="C30" s="95">
        <v>192.16</v>
      </c>
      <c r="D30" s="88">
        <f t="shared" si="0"/>
        <v>9.8032260522505771E-3</v>
      </c>
      <c r="E30" s="53"/>
    </row>
    <row r="31" spans="1:5" ht="15.75" customHeight="1" x14ac:dyDescent="0.3">
      <c r="C31" s="95">
        <v>191.1</v>
      </c>
      <c r="D31" s="88">
        <f t="shared" si="0"/>
        <v>4.2329126695726622E-3</v>
      </c>
      <c r="E31" s="53"/>
    </row>
    <row r="32" spans="1:5" ht="15.75" customHeight="1" x14ac:dyDescent="0.3">
      <c r="C32" s="95">
        <v>190.86</v>
      </c>
      <c r="D32" s="88">
        <f t="shared" si="0"/>
        <v>2.9717096395324842E-3</v>
      </c>
      <c r="E32" s="53"/>
    </row>
    <row r="33" spans="1:7" ht="15.75" customHeight="1" x14ac:dyDescent="0.3">
      <c r="C33" s="95">
        <v>189.28</v>
      </c>
      <c r="D33" s="88">
        <f t="shared" si="0"/>
        <v>-5.3312103082327556E-3</v>
      </c>
      <c r="E33" s="53"/>
    </row>
    <row r="34" spans="1:7" ht="15.75" customHeight="1" x14ac:dyDescent="0.3">
      <c r="C34" s="95">
        <v>191.33</v>
      </c>
      <c r="D34" s="88">
        <f t="shared" si="0"/>
        <v>5.441565573361359E-3</v>
      </c>
      <c r="E34" s="53"/>
    </row>
    <row r="35" spans="1:7" ht="15.75" customHeight="1" x14ac:dyDescent="0.3">
      <c r="C35" s="95">
        <v>189.27</v>
      </c>
      <c r="D35" s="88">
        <f t="shared" si="0"/>
        <v>-5.3837604344843864E-3</v>
      </c>
      <c r="E35" s="53"/>
    </row>
    <row r="36" spans="1:7" ht="15.75" customHeight="1" x14ac:dyDescent="0.3">
      <c r="C36" s="95">
        <v>194.23</v>
      </c>
      <c r="D36" s="88">
        <f t="shared" si="0"/>
        <v>2.0681102186347954E-2</v>
      </c>
      <c r="E36" s="53"/>
    </row>
    <row r="37" spans="1:7" ht="15.75" customHeight="1" x14ac:dyDescent="0.3">
      <c r="C37" s="95">
        <v>193.4</v>
      </c>
      <c r="D37" s="88">
        <f t="shared" si="0"/>
        <v>1.6319441707458734E-2</v>
      </c>
      <c r="E37" s="53"/>
    </row>
    <row r="38" spans="1:7" ht="15.75" customHeight="1" x14ac:dyDescent="0.3">
      <c r="C38" s="95">
        <v>191.22</v>
      </c>
      <c r="D38" s="88">
        <f t="shared" si="0"/>
        <v>4.8635141845928265E-3</v>
      </c>
      <c r="E38" s="53"/>
    </row>
    <row r="39" spans="1:7" ht="15.75" customHeight="1" x14ac:dyDescent="0.3">
      <c r="C39" s="95">
        <v>191.83</v>
      </c>
      <c r="D39" s="88">
        <f t="shared" si="0"/>
        <v>8.0690718859452761E-3</v>
      </c>
      <c r="E39" s="53"/>
    </row>
    <row r="40" spans="1:7" ht="15.75" customHeight="1" x14ac:dyDescent="0.3">
      <c r="C40" s="95">
        <v>187.68</v>
      </c>
      <c r="D40" s="88">
        <f t="shared" si="0"/>
        <v>-1.3739230508501257E-2</v>
      </c>
      <c r="E40" s="53"/>
    </row>
    <row r="41" spans="1:7" ht="15.75" customHeight="1" x14ac:dyDescent="0.3">
      <c r="C41" s="95">
        <v>190.94</v>
      </c>
      <c r="D41" s="88">
        <f t="shared" si="0"/>
        <v>3.3921106495458271E-3</v>
      </c>
      <c r="E41" s="53"/>
    </row>
    <row r="42" spans="1:7" ht="15.75" customHeight="1" x14ac:dyDescent="0.3">
      <c r="C42" s="95">
        <v>183.84</v>
      </c>
      <c r="D42" s="88">
        <f t="shared" si="0"/>
        <v>-3.3918478989145753E-2</v>
      </c>
      <c r="E42" s="53"/>
    </row>
    <row r="43" spans="1:7" ht="16.5" customHeight="1" x14ac:dyDescent="0.3">
      <c r="C43" s="96">
        <v>191.6</v>
      </c>
      <c r="D43" s="89">
        <f t="shared" si="0"/>
        <v>6.8604189821565784E-3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3805.89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190.2945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190.2945</v>
      </c>
      <c r="C49" s="93">
        <f>-IF(C46&lt;=80,10%,IF(C46&lt;250,7.5%,5%))</f>
        <v>-7.4999999999999997E-2</v>
      </c>
      <c r="D49" s="81">
        <f>IF(C46&lt;=80,C46*0.9,IF(C46&lt;250,C46*0.925,C46*0.95))</f>
        <v>176.0224125</v>
      </c>
    </row>
    <row r="50" spans="1:6" ht="17.25" customHeight="1" x14ac:dyDescent="0.3">
      <c r="B50" s="467"/>
      <c r="C50" s="94">
        <f>IF(C46&lt;=80, 10%, IF(C46&lt;250, 7.5%, 5%))</f>
        <v>7.4999999999999997E-2</v>
      </c>
      <c r="D50" s="81">
        <f>IF(C46&lt;=80, C46*1.1, IF(C46&lt;250, C46*1.075, C46*1.05))</f>
        <v>204.5665875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45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46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98"/>
    </row>
    <row r="16" spans="1:9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47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33</v>
      </c>
      <c r="B18" s="507" t="s">
        <v>5</v>
      </c>
      <c r="C18" s="507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2" t="s">
        <v>9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37</v>
      </c>
      <c r="B22" s="105">
        <v>42550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42551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9</v>
      </c>
      <c r="C26" s="507"/>
    </row>
    <row r="27" spans="1:14" ht="26.25" customHeight="1" x14ac:dyDescent="0.4">
      <c r="A27" s="109" t="s">
        <v>48</v>
      </c>
      <c r="B27" s="505" t="s">
        <v>146</v>
      </c>
      <c r="C27" s="505"/>
    </row>
    <row r="28" spans="1:14" ht="27" customHeight="1" x14ac:dyDescent="0.4">
      <c r="A28" s="109" t="s">
        <v>6</v>
      </c>
      <c r="B28" s="110">
        <v>98.2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586.17999999999995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608.17999999999995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0.96382649873392745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8" t="s">
        <v>59</v>
      </c>
      <c r="E36" s="506"/>
      <c r="F36" s="488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29301682</v>
      </c>
      <c r="E38" s="133">
        <f>IF(ISBLANK(D38),"-",$D$48/$D$45*D38)</f>
        <v>28718611.58285407</v>
      </c>
      <c r="F38" s="132">
        <v>27309413</v>
      </c>
      <c r="G38" s="134">
        <f>IF(ISBLANK(F38),"-",$D$48/$F$45*F38)</f>
        <v>28276884.981005996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29353443</v>
      </c>
      <c r="E39" s="138">
        <f>IF(ISBLANK(D39),"-",$D$48/$D$45*D39)</f>
        <v>28769342.597344641</v>
      </c>
      <c r="F39" s="137">
        <v>27370982</v>
      </c>
      <c r="G39" s="139">
        <f>IF(ISBLANK(F39),"-",$D$48/$F$45*F39)</f>
        <v>28340635.144050349</v>
      </c>
      <c r="I39" s="490">
        <f>ABS((F43/D43*D42)-F42)/D42</f>
        <v>1.3261350865284346E-2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29257390</v>
      </c>
      <c r="E40" s="138">
        <f>IF(ISBLANK(D40),"-",$D$48/$D$45*D40)</f>
        <v>28675200.94368913</v>
      </c>
      <c r="F40" s="137">
        <v>27368915</v>
      </c>
      <c r="G40" s="139">
        <f>IF(ISBLANK(F40),"-",$D$48/$F$45*F40)</f>
        <v>28338494.917848643</v>
      </c>
      <c r="I40" s="49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29304171.666666668</v>
      </c>
      <c r="E42" s="148">
        <f>AVERAGE(E38:E41)</f>
        <v>28721051.707962614</v>
      </c>
      <c r="F42" s="147">
        <f>AVERAGE(F38:F41)</f>
        <v>27349770</v>
      </c>
      <c r="G42" s="149">
        <f>AVERAGE(G38:G41)</f>
        <v>28318671.680968329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26.95</v>
      </c>
      <c r="E43" s="140"/>
      <c r="F43" s="152">
        <v>25.51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25.975124140879345</v>
      </c>
      <c r="E44" s="155"/>
      <c r="F44" s="154">
        <f>F43*$B$34</f>
        <v>24.58721398270249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25.507571906343518</v>
      </c>
      <c r="E45" s="158"/>
      <c r="F45" s="157">
        <f>F44*$B$30/100</f>
        <v>24.144644131013848</v>
      </c>
      <c r="H45" s="150"/>
    </row>
    <row r="46" spans="1:14" ht="19.5" customHeight="1" x14ac:dyDescent="0.3">
      <c r="A46" s="476" t="s">
        <v>78</v>
      </c>
      <c r="B46" s="477"/>
      <c r="C46" s="153" t="s">
        <v>79</v>
      </c>
      <c r="D46" s="159">
        <f>D45/$B$45</f>
        <v>5.1015143812687035E-2</v>
      </c>
      <c r="E46" s="160"/>
      <c r="F46" s="161">
        <f>F45/$B$45</f>
        <v>4.8289288262027698E-2</v>
      </c>
      <c r="H46" s="150"/>
    </row>
    <row r="47" spans="1:14" ht="27" customHeight="1" x14ac:dyDescent="0.4">
      <c r="A47" s="478"/>
      <c r="B47" s="479"/>
      <c r="C47" s="162" t="s">
        <v>80</v>
      </c>
      <c r="D47" s="163">
        <v>0.05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25.938278344535806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28519861.694465473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7.8392323243048449E-3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Montelukast 10 mg</v>
      </c>
    </row>
    <row r="56" spans="1:12" ht="26.25" customHeight="1" x14ac:dyDescent="0.4">
      <c r="A56" s="177" t="s">
        <v>87</v>
      </c>
      <c r="B56" s="178">
        <v>10</v>
      </c>
      <c r="C56" s="99" t="str">
        <f>B20</f>
        <v>Montelukast Sodium</v>
      </c>
      <c r="H56" s="179"/>
    </row>
    <row r="57" spans="1:12" ht="18.75" x14ac:dyDescent="0.3">
      <c r="A57" s="176" t="s">
        <v>88</v>
      </c>
      <c r="B57" s="268">
        <f>Uniformity!C46</f>
        <v>190.2945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3" t="s">
        <v>94</v>
      </c>
      <c r="D60" s="496">
        <v>945.1</v>
      </c>
      <c r="E60" s="182">
        <v>1</v>
      </c>
      <c r="F60" s="183">
        <v>26421618</v>
      </c>
      <c r="G60" s="269">
        <f>IF(ISBLANK(F60),"-",(F60/$D$50*$D$47*$B$68)*($B$57/$D$60))</f>
        <v>9.3267529163416061</v>
      </c>
      <c r="H60" s="184">
        <f t="shared" ref="H60:H71" si="0">IF(ISBLANK(F60),"-",G60/$B$56)</f>
        <v>0.93267529163416063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494"/>
      <c r="D61" s="497"/>
      <c r="E61" s="185">
        <v>2</v>
      </c>
      <c r="F61" s="137">
        <v>26484456</v>
      </c>
      <c r="G61" s="270">
        <f>IF(ISBLANK(F61),"-",(F61/$D$50*$D$47*$B$68)*($B$57/$D$60))</f>
        <v>9.3489345442705645</v>
      </c>
      <c r="H61" s="186">
        <f t="shared" si="0"/>
        <v>0.9348934544270564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4"/>
      <c r="D62" s="497"/>
      <c r="E62" s="185">
        <v>3</v>
      </c>
      <c r="F62" s="187">
        <v>26438012</v>
      </c>
      <c r="G62" s="270">
        <f>IF(ISBLANK(F62),"-",(F62/$D$50*$D$47*$B$68)*($B$57/$D$60))</f>
        <v>9.3325399497969563</v>
      </c>
      <c r="H62" s="186">
        <f t="shared" si="0"/>
        <v>0.93325399497969563</v>
      </c>
      <c r="L62" s="112"/>
    </row>
    <row r="63" spans="1:12" ht="27" customHeight="1" x14ac:dyDescent="0.4">
      <c r="A63" s="124" t="s">
        <v>97</v>
      </c>
      <c r="B63" s="125">
        <v>1</v>
      </c>
      <c r="C63" s="504"/>
      <c r="D63" s="49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3" t="s">
        <v>99</v>
      </c>
      <c r="D64" s="496">
        <v>953.65</v>
      </c>
      <c r="E64" s="182">
        <v>1</v>
      </c>
      <c r="F64" s="183">
        <v>27064128</v>
      </c>
      <c r="G64" s="271">
        <f>IF(ISBLANK(F64),"-",(F64/$D$50*$D$47*$B$68)*($B$57/$D$64))</f>
        <v>9.467904117953573</v>
      </c>
      <c r="H64" s="190">
        <f t="shared" si="0"/>
        <v>0.94679041179535728</v>
      </c>
    </row>
    <row r="65" spans="1:8" ht="26.25" customHeight="1" x14ac:dyDescent="0.4">
      <c r="A65" s="124" t="s">
        <v>100</v>
      </c>
      <c r="B65" s="125">
        <v>1</v>
      </c>
      <c r="C65" s="494"/>
      <c r="D65" s="497"/>
      <c r="E65" s="185">
        <v>2</v>
      </c>
      <c r="F65" s="137">
        <v>27111605</v>
      </c>
      <c r="G65" s="272">
        <f>IF(ISBLANK(F65),"-",(F65/$D$50*$D$47*$B$68)*($B$57/$D$64))</f>
        <v>9.4845131025034579</v>
      </c>
      <c r="H65" s="191">
        <f t="shared" si="0"/>
        <v>0.94845131025034579</v>
      </c>
    </row>
    <row r="66" spans="1:8" ht="26.25" customHeight="1" x14ac:dyDescent="0.4">
      <c r="A66" s="124" t="s">
        <v>101</v>
      </c>
      <c r="B66" s="125">
        <v>1</v>
      </c>
      <c r="C66" s="494"/>
      <c r="D66" s="497"/>
      <c r="E66" s="185">
        <v>3</v>
      </c>
      <c r="F66" s="137">
        <v>27022261</v>
      </c>
      <c r="G66" s="272">
        <f>IF(ISBLANK(F66),"-",(F66/$D$50*$D$47*$B$68)*($B$57/$D$64))</f>
        <v>9.4532576921863605</v>
      </c>
      <c r="H66" s="191">
        <f t="shared" si="0"/>
        <v>0.94532576921863609</v>
      </c>
    </row>
    <row r="67" spans="1:8" ht="27" customHeight="1" x14ac:dyDescent="0.4">
      <c r="A67" s="124" t="s">
        <v>102</v>
      </c>
      <c r="B67" s="125">
        <v>1</v>
      </c>
      <c r="C67" s="504"/>
      <c r="D67" s="49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493" t="s">
        <v>104</v>
      </c>
      <c r="D68" s="496">
        <v>948.63</v>
      </c>
      <c r="E68" s="182">
        <v>1</v>
      </c>
      <c r="F68" s="183">
        <v>27125212</v>
      </c>
      <c r="G68" s="271">
        <f>IF(ISBLANK(F68),"-",(F68/$D$50*$D$47*$B$68)*($B$57/$D$68))</f>
        <v>9.5394890036627071</v>
      </c>
      <c r="H68" s="186">
        <f t="shared" si="0"/>
        <v>0.95394890036627067</v>
      </c>
    </row>
    <row r="69" spans="1:8" ht="27" customHeight="1" x14ac:dyDescent="0.4">
      <c r="A69" s="172" t="s">
        <v>105</v>
      </c>
      <c r="B69" s="194">
        <f>(D47*B68)/B56*B57</f>
        <v>951.47249999999997</v>
      </c>
      <c r="C69" s="494"/>
      <c r="D69" s="497"/>
      <c r="E69" s="185">
        <v>2</v>
      </c>
      <c r="F69" s="137">
        <v>27106498</v>
      </c>
      <c r="G69" s="272">
        <f>IF(ISBLANK(F69),"-",(F69/$D$50*$D$47*$B$68)*($B$57/$D$68))</f>
        <v>9.5329075989822734</v>
      </c>
      <c r="H69" s="186">
        <f t="shared" si="0"/>
        <v>0.95329075989822731</v>
      </c>
    </row>
    <row r="70" spans="1:8" ht="26.25" customHeight="1" x14ac:dyDescent="0.4">
      <c r="A70" s="499" t="s">
        <v>78</v>
      </c>
      <c r="B70" s="500"/>
      <c r="C70" s="494"/>
      <c r="D70" s="497"/>
      <c r="E70" s="185">
        <v>3</v>
      </c>
      <c r="F70" s="137">
        <v>27038218</v>
      </c>
      <c r="G70" s="272">
        <f>IF(ISBLANK(F70),"-",(F70/$D$50*$D$47*$B$68)*($B$57/$D$68))</f>
        <v>9.5088946508375685</v>
      </c>
      <c r="H70" s="186">
        <f t="shared" si="0"/>
        <v>0.95088946508375682</v>
      </c>
    </row>
    <row r="71" spans="1:8" ht="27" customHeight="1" x14ac:dyDescent="0.4">
      <c r="A71" s="501"/>
      <c r="B71" s="502"/>
      <c r="C71" s="495"/>
      <c r="D71" s="49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9.4439103973927843</v>
      </c>
      <c r="H72" s="199">
        <f>AVERAGE(H60:H71)</f>
        <v>0.94439103973927851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9.0734043897674355E-3</v>
      </c>
      <c r="H73" s="274">
        <f>STDEV(H60:H71)/H72</f>
        <v>9.0734043897674269E-3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480" t="str">
        <f>B20</f>
        <v>Montelukast Sodium</v>
      </c>
      <c r="D76" s="480"/>
      <c r="E76" s="205" t="s">
        <v>108</v>
      </c>
      <c r="F76" s="205"/>
      <c r="G76" s="206">
        <f>H72</f>
        <v>0.94439103973927851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Montelukast Sodium</v>
      </c>
      <c r="C79" s="503"/>
    </row>
    <row r="80" spans="1:8" ht="26.25" customHeight="1" x14ac:dyDescent="0.4">
      <c r="A80" s="109" t="s">
        <v>48</v>
      </c>
      <c r="B80" s="503" t="str">
        <f>B27</f>
        <v>M6-6</v>
      </c>
      <c r="C80" s="503"/>
    </row>
    <row r="81" spans="1:12" ht="27" customHeight="1" x14ac:dyDescent="0.4">
      <c r="A81" s="109" t="s">
        <v>6</v>
      </c>
      <c r="B81" s="208">
        <f>B28</f>
        <v>98.2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586.17999999999995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608.17999999999995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0.96382649873392745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488" t="s">
        <v>60</v>
      </c>
      <c r="G89" s="489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>
        <v>5584276</v>
      </c>
      <c r="E91" s="133">
        <f>IF(ISBLANK(D91),"-",$D$101/$D$98*D91)</f>
        <v>6081283.5634583104</v>
      </c>
      <c r="F91" s="132">
        <v>5223256</v>
      </c>
      <c r="G91" s="134">
        <f>IF(ISBLANK(F91),"-",$D$101/$F$98*F91)</f>
        <v>6009218.5934550781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5579806</v>
      </c>
      <c r="E92" s="138">
        <f>IF(ISBLANK(D92),"-",$D$101/$D$98*D92)</f>
        <v>6076415.727855511</v>
      </c>
      <c r="F92" s="137">
        <v>5214877</v>
      </c>
      <c r="G92" s="139">
        <f>IF(ISBLANK(F92),"-",$D$101/$F$98*F92)</f>
        <v>5999578.7744236998</v>
      </c>
      <c r="I92" s="490">
        <f>ABS((F96/D96*D95)-F95)/D95</f>
        <v>1.2562035660431731E-2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5573753</v>
      </c>
      <c r="E93" s="138">
        <f>IF(ISBLANK(D93),"-",$D$101/$D$98*D93)</f>
        <v>6069824.0032685436</v>
      </c>
      <c r="F93" s="137">
        <v>5195100</v>
      </c>
      <c r="G93" s="139">
        <f>IF(ISBLANK(F93),"-",$D$101/$F$98*F93)</f>
        <v>5976825.8562970068</v>
      </c>
      <c r="I93" s="49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5579278.333333333</v>
      </c>
      <c r="E95" s="148">
        <f>AVERAGE(E91:E94)</f>
        <v>6075841.0981941223</v>
      </c>
      <c r="F95" s="218">
        <f>AVERAGE(F91:F94)</f>
        <v>5211077.666666667</v>
      </c>
      <c r="G95" s="219">
        <f>AVERAGE(G91:G94)</f>
        <v>5995207.7413919279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26.95</v>
      </c>
      <c r="E96" s="140"/>
      <c r="F96" s="152">
        <v>25.51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25.975124140879345</v>
      </c>
      <c r="E97" s="155"/>
      <c r="F97" s="154">
        <f>F96*$B$87</f>
        <v>24.58721398270249</v>
      </c>
    </row>
    <row r="98" spans="1:10" ht="19.5" customHeight="1" x14ac:dyDescent="0.3">
      <c r="A98" s="124" t="s">
        <v>76</v>
      </c>
      <c r="B98" s="224">
        <f>(B97/B96)*(B95/B94)*(B93/B92)*(B91/B90)*B89</f>
        <v>2500</v>
      </c>
      <c r="C98" s="222" t="s">
        <v>115</v>
      </c>
      <c r="D98" s="225">
        <f>D97*$B$83/100</f>
        <v>25.507571906343518</v>
      </c>
      <c r="E98" s="158"/>
      <c r="F98" s="157">
        <f>F97*$B$83/100</f>
        <v>24.144644131013848</v>
      </c>
    </row>
    <row r="99" spans="1:10" ht="19.5" customHeight="1" x14ac:dyDescent="0.3">
      <c r="A99" s="476" t="s">
        <v>78</v>
      </c>
      <c r="B99" s="491"/>
      <c r="C99" s="222" t="s">
        <v>116</v>
      </c>
      <c r="D99" s="226">
        <f>D98/$B$98</f>
        <v>1.0203028762537408E-2</v>
      </c>
      <c r="E99" s="158"/>
      <c r="F99" s="161">
        <f>F98/$B$98</f>
        <v>9.6578576524055399E-3</v>
      </c>
      <c r="G99" s="227"/>
      <c r="H99" s="150"/>
    </row>
    <row r="100" spans="1:10" ht="19.5" customHeight="1" x14ac:dyDescent="0.3">
      <c r="A100" s="478"/>
      <c r="B100" s="492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28.820309271706453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6035524.4197930247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7.5462752724763504E-3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6410020</v>
      </c>
      <c r="E108" s="275">
        <f t="shared" ref="E108:E113" si="1">IF(ISBLANK(D108),"-",D108/$D$103*$D$100*$B$116)</f>
        <v>10.620485568708574</v>
      </c>
      <c r="F108" s="245">
        <f t="shared" ref="F108:F113" si="2">IF(ISBLANK(D108), "-", E108/$B$56)</f>
        <v>1.0620485568708573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5788918</v>
      </c>
      <c r="E109" s="276">
        <f t="shared" si="1"/>
        <v>9.5914084632243402</v>
      </c>
      <c r="F109" s="246">
        <f t="shared" si="2"/>
        <v>0.95914084632243402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5602060</v>
      </c>
      <c r="E110" s="276">
        <f t="shared" si="1"/>
        <v>9.2818115052744847</v>
      </c>
      <c r="F110" s="246">
        <f t="shared" si="2"/>
        <v>0.92818115052744843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6167100</v>
      </c>
      <c r="E111" s="276">
        <f t="shared" si="1"/>
        <v>10.218001901832233</v>
      </c>
      <c r="F111" s="246">
        <f t="shared" si="2"/>
        <v>1.0218001901832232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6231581</v>
      </c>
      <c r="E112" s="276">
        <f t="shared" si="1"/>
        <v>10.324837688609168</v>
      </c>
      <c r="F112" s="246">
        <f t="shared" si="2"/>
        <v>1.0324837688609168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6254160</v>
      </c>
      <c r="E113" s="277">
        <f t="shared" si="1"/>
        <v>10.362247859506587</v>
      </c>
      <c r="F113" s="249">
        <f t="shared" si="2"/>
        <v>1.0362247859506586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10.06646549785923</v>
      </c>
      <c r="F115" s="252">
        <f>AVERAGE(F108:F113)</f>
        <v>1.0066465497859232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5.1148021102751344E-2</v>
      </c>
      <c r="F116" s="254">
        <f>STDEV(F108:F113)/F115</f>
        <v>5.1148021102751309E-2</v>
      </c>
      <c r="I116" s="98"/>
    </row>
    <row r="117" spans="1:10" ht="27" customHeight="1" x14ac:dyDescent="0.4">
      <c r="A117" s="476" t="s">
        <v>78</v>
      </c>
      <c r="B117" s="477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8"/>
      <c r="B118" s="47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80" t="str">
        <f>B20</f>
        <v>Montelukast Sodium</v>
      </c>
      <c r="D120" s="480"/>
      <c r="E120" s="205" t="s">
        <v>124</v>
      </c>
      <c r="F120" s="205"/>
      <c r="G120" s="206">
        <f>F115</f>
        <v>1.0066465497859232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1" t="s">
        <v>26</v>
      </c>
      <c r="C122" s="481"/>
      <c r="E122" s="211" t="s">
        <v>27</v>
      </c>
      <c r="F122" s="260"/>
      <c r="G122" s="481" t="s">
        <v>28</v>
      </c>
      <c r="H122" s="481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50" zoomScaleNormal="70" zoomScaleSheetLayoutView="50" workbookViewId="0">
      <selection activeCell="A8" sqref="A8:G1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74" t="s">
        <v>45</v>
      </c>
      <c r="B1" s="474"/>
      <c r="C1" s="474"/>
      <c r="D1" s="474"/>
      <c r="E1" s="474"/>
      <c r="F1" s="474"/>
      <c r="G1" s="474"/>
    </row>
    <row r="2" spans="1:7" x14ac:dyDescent="0.2">
      <c r="A2" s="474"/>
      <c r="B2" s="474"/>
      <c r="C2" s="474"/>
      <c r="D2" s="474"/>
      <c r="E2" s="474"/>
      <c r="F2" s="474"/>
      <c r="G2" s="474"/>
    </row>
    <row r="3" spans="1:7" x14ac:dyDescent="0.2">
      <c r="A3" s="474"/>
      <c r="B3" s="474"/>
      <c r="C3" s="474"/>
      <c r="D3" s="474"/>
      <c r="E3" s="474"/>
      <c r="F3" s="474"/>
      <c r="G3" s="474"/>
    </row>
    <row r="4" spans="1:7" x14ac:dyDescent="0.2">
      <c r="A4" s="474"/>
      <c r="B4" s="474"/>
      <c r="C4" s="474"/>
      <c r="D4" s="474"/>
      <c r="E4" s="474"/>
      <c r="F4" s="474"/>
      <c r="G4" s="474"/>
    </row>
    <row r="5" spans="1:7" x14ac:dyDescent="0.2">
      <c r="A5" s="474"/>
      <c r="B5" s="474"/>
      <c r="C5" s="474"/>
      <c r="D5" s="474"/>
      <c r="E5" s="474"/>
      <c r="F5" s="474"/>
      <c r="G5" s="474"/>
    </row>
    <row r="6" spans="1:7" x14ac:dyDescent="0.2">
      <c r="A6" s="474"/>
      <c r="B6" s="474"/>
      <c r="C6" s="474"/>
      <c r="D6" s="474"/>
      <c r="E6" s="474"/>
      <c r="F6" s="474"/>
      <c r="G6" s="474"/>
    </row>
    <row r="7" spans="1:7" x14ac:dyDescent="0.2">
      <c r="A7" s="474"/>
      <c r="B7" s="474"/>
      <c r="C7" s="474"/>
      <c r="D7" s="474"/>
      <c r="E7" s="474"/>
      <c r="F7" s="474"/>
      <c r="G7" s="474"/>
    </row>
    <row r="8" spans="1:7" x14ac:dyDescent="0.2">
      <c r="A8" s="475" t="s">
        <v>46</v>
      </c>
      <c r="B8" s="475"/>
      <c r="C8" s="475"/>
      <c r="D8" s="475"/>
      <c r="E8" s="475"/>
      <c r="F8" s="475"/>
      <c r="G8" s="475"/>
    </row>
    <row r="9" spans="1:7" x14ac:dyDescent="0.2">
      <c r="A9" s="475"/>
      <c r="B9" s="475"/>
      <c r="C9" s="475"/>
      <c r="D9" s="475"/>
      <c r="E9" s="475"/>
      <c r="F9" s="475"/>
      <c r="G9" s="475"/>
    </row>
    <row r="10" spans="1:7" x14ac:dyDescent="0.2">
      <c r="A10" s="475"/>
      <c r="B10" s="475"/>
      <c r="C10" s="475"/>
      <c r="D10" s="475"/>
      <c r="E10" s="475"/>
      <c r="F10" s="475"/>
      <c r="G10" s="475"/>
    </row>
    <row r="11" spans="1:7" x14ac:dyDescent="0.2">
      <c r="A11" s="475"/>
      <c r="B11" s="475"/>
      <c r="C11" s="475"/>
      <c r="D11" s="475"/>
      <c r="E11" s="475"/>
      <c r="F11" s="475"/>
      <c r="G11" s="475"/>
    </row>
    <row r="12" spans="1:7" x14ac:dyDescent="0.2">
      <c r="A12" s="475"/>
      <c r="B12" s="475"/>
      <c r="C12" s="475"/>
      <c r="D12" s="475"/>
      <c r="E12" s="475"/>
      <c r="F12" s="475"/>
      <c r="G12" s="475"/>
    </row>
    <row r="13" spans="1:7" x14ac:dyDescent="0.2">
      <c r="A13" s="475"/>
      <c r="B13" s="475"/>
      <c r="C13" s="475"/>
      <c r="D13" s="475"/>
      <c r="E13" s="475"/>
      <c r="F13" s="475"/>
      <c r="G13" s="475"/>
    </row>
    <row r="14" spans="1:7" x14ac:dyDescent="0.2">
      <c r="A14" s="475"/>
      <c r="B14" s="475"/>
      <c r="C14" s="475"/>
      <c r="D14" s="475"/>
      <c r="E14" s="475"/>
      <c r="F14" s="475"/>
      <c r="G14" s="475"/>
    </row>
    <row r="15" spans="1:7" ht="19.5" customHeight="1" x14ac:dyDescent="0.3">
      <c r="A15" s="281"/>
      <c r="B15" s="281"/>
      <c r="C15" s="281"/>
      <c r="D15" s="281"/>
      <c r="E15" s="281"/>
      <c r="F15" s="281"/>
      <c r="G15" s="281"/>
    </row>
    <row r="16" spans="1:7" ht="19.5" customHeight="1" x14ac:dyDescent="0.3">
      <c r="A16" s="508" t="s">
        <v>31</v>
      </c>
      <c r="B16" s="509"/>
      <c r="C16" s="509"/>
      <c r="D16" s="509"/>
      <c r="E16" s="509"/>
      <c r="F16" s="509"/>
      <c r="G16" s="509"/>
    </row>
    <row r="17" spans="1:7" ht="18.75" customHeight="1" x14ac:dyDescent="0.3">
      <c r="A17" s="282" t="s">
        <v>47</v>
      </c>
      <c r="B17" s="282"/>
      <c r="C17" s="281"/>
      <c r="D17" s="281"/>
      <c r="E17" s="281"/>
      <c r="F17" s="281"/>
      <c r="G17" s="281"/>
    </row>
    <row r="18" spans="1:7" ht="26.25" customHeight="1" x14ac:dyDescent="0.4">
      <c r="A18" s="283" t="s">
        <v>33</v>
      </c>
      <c r="B18" s="503" t="s">
        <v>5</v>
      </c>
      <c r="C18" s="503"/>
      <c r="D18" s="284"/>
      <c r="E18" s="284"/>
      <c r="F18" s="281"/>
      <c r="G18" s="281"/>
    </row>
    <row r="19" spans="1:7" ht="26.25" customHeight="1" x14ac:dyDescent="0.4">
      <c r="A19" s="283" t="s">
        <v>34</v>
      </c>
      <c r="B19" s="458" t="s">
        <v>7</v>
      </c>
      <c r="C19" s="281">
        <v>36</v>
      </c>
      <c r="E19" s="281"/>
      <c r="F19" s="281"/>
      <c r="G19" s="281"/>
    </row>
    <row r="20" spans="1:7" ht="26.25" customHeight="1" x14ac:dyDescent="0.4">
      <c r="A20" s="283" t="s">
        <v>35</v>
      </c>
      <c r="B20" s="505" t="s">
        <v>145</v>
      </c>
      <c r="C20" s="505"/>
      <c r="D20" s="281"/>
      <c r="E20" s="281"/>
      <c r="F20" s="281"/>
      <c r="G20" s="281"/>
    </row>
    <row r="21" spans="1:7" ht="26.25" customHeight="1" x14ac:dyDescent="0.4">
      <c r="A21" s="283" t="s">
        <v>36</v>
      </c>
      <c r="B21" s="285" t="s">
        <v>147</v>
      </c>
      <c r="C21" s="285"/>
      <c r="D21" s="286"/>
      <c r="E21" s="286"/>
      <c r="F21" s="286"/>
      <c r="G21" s="286"/>
    </row>
    <row r="22" spans="1:7" ht="26.25" customHeight="1" x14ac:dyDescent="0.4">
      <c r="A22" s="283" t="s">
        <v>37</v>
      </c>
      <c r="B22" s="287">
        <v>42550</v>
      </c>
      <c r="C22" s="288"/>
      <c r="D22" s="281"/>
      <c r="E22" s="281"/>
      <c r="F22" s="281"/>
      <c r="G22" s="281"/>
    </row>
    <row r="23" spans="1:7" ht="26.25" customHeight="1" x14ac:dyDescent="0.4">
      <c r="A23" s="283" t="s">
        <v>38</v>
      </c>
      <c r="B23" s="287">
        <v>42551</v>
      </c>
      <c r="C23" s="288"/>
      <c r="D23" s="281"/>
      <c r="E23" s="281"/>
      <c r="F23" s="281"/>
      <c r="G23" s="281"/>
    </row>
    <row r="24" spans="1:7" ht="18.75" customHeight="1" x14ac:dyDescent="0.3">
      <c r="A24" s="283"/>
      <c r="B24" s="289"/>
      <c r="C24" s="281"/>
      <c r="D24" s="281"/>
      <c r="E24" s="281"/>
      <c r="F24" s="281"/>
      <c r="G24" s="281"/>
    </row>
    <row r="25" spans="1:7" ht="18.75" customHeight="1" x14ac:dyDescent="0.3">
      <c r="A25" s="290" t="s">
        <v>1</v>
      </c>
      <c r="B25" s="289"/>
      <c r="C25" s="281"/>
      <c r="D25" s="281"/>
      <c r="E25" s="281"/>
      <c r="F25" s="281"/>
      <c r="G25" s="281"/>
    </row>
    <row r="26" spans="1:7" ht="26.25" customHeight="1" x14ac:dyDescent="0.4">
      <c r="A26" s="291" t="s">
        <v>4</v>
      </c>
      <c r="B26" s="503" t="s">
        <v>9</v>
      </c>
      <c r="C26" s="503"/>
      <c r="D26" s="281"/>
      <c r="E26" s="281"/>
      <c r="F26" s="281"/>
      <c r="G26" s="281"/>
    </row>
    <row r="27" spans="1:7" ht="26.25" customHeight="1" x14ac:dyDescent="0.4">
      <c r="A27" s="292" t="s">
        <v>48</v>
      </c>
      <c r="B27" s="505" t="s">
        <v>146</v>
      </c>
      <c r="C27" s="505"/>
      <c r="D27" s="281"/>
      <c r="E27" s="281"/>
      <c r="F27" s="281"/>
      <c r="G27" s="281"/>
    </row>
    <row r="28" spans="1:7" ht="27" customHeight="1" x14ac:dyDescent="0.4">
      <c r="A28" s="292" t="s">
        <v>6</v>
      </c>
      <c r="B28" s="293">
        <v>98.2</v>
      </c>
      <c r="C28" s="281"/>
      <c r="D28" s="281"/>
      <c r="E28" s="281"/>
      <c r="F28" s="281"/>
      <c r="G28" s="281"/>
    </row>
    <row r="29" spans="1:7" ht="27" customHeight="1" x14ac:dyDescent="0.4">
      <c r="A29" s="292" t="s">
        <v>49</v>
      </c>
      <c r="B29" s="294">
        <v>0</v>
      </c>
      <c r="C29" s="485" t="s">
        <v>125</v>
      </c>
      <c r="D29" s="486"/>
      <c r="E29" s="486"/>
      <c r="F29" s="486"/>
      <c r="G29" s="487"/>
    </row>
    <row r="30" spans="1:7" ht="19.5" customHeight="1" x14ac:dyDescent="0.3">
      <c r="A30" s="292" t="s">
        <v>51</v>
      </c>
      <c r="B30" s="296">
        <f>B28-B29</f>
        <v>98.2</v>
      </c>
      <c r="C30" s="297"/>
      <c r="D30" s="297"/>
      <c r="E30" s="297"/>
      <c r="F30" s="297"/>
      <c r="G30" s="297"/>
    </row>
    <row r="31" spans="1:7" ht="27" customHeight="1" x14ac:dyDescent="0.4">
      <c r="A31" s="292" t="s">
        <v>52</v>
      </c>
      <c r="B31" s="298">
        <v>586.17999999999995</v>
      </c>
      <c r="C31" s="485" t="s">
        <v>53</v>
      </c>
      <c r="D31" s="486"/>
      <c r="E31" s="486"/>
      <c r="F31" s="486"/>
      <c r="G31" s="487"/>
    </row>
    <row r="32" spans="1:7" ht="27" customHeight="1" x14ac:dyDescent="0.4">
      <c r="A32" s="292" t="s">
        <v>54</v>
      </c>
      <c r="B32" s="298">
        <v>608.17999999999995</v>
      </c>
      <c r="C32" s="485" t="s">
        <v>55</v>
      </c>
      <c r="D32" s="486"/>
      <c r="E32" s="486"/>
      <c r="F32" s="486"/>
      <c r="G32" s="487"/>
    </row>
    <row r="33" spans="1:7" ht="18.75" customHeight="1" x14ac:dyDescent="0.3">
      <c r="A33" s="292"/>
      <c r="B33" s="299"/>
      <c r="C33" s="300"/>
      <c r="D33" s="300"/>
      <c r="E33" s="300"/>
      <c r="F33" s="300"/>
      <c r="G33" s="300"/>
    </row>
    <row r="34" spans="1:7" ht="18.75" customHeight="1" x14ac:dyDescent="0.3">
      <c r="A34" s="292" t="s">
        <v>56</v>
      </c>
      <c r="B34" s="301">
        <f>B31/B32</f>
        <v>0.96382649873392745</v>
      </c>
      <c r="C34" s="281" t="s">
        <v>57</v>
      </c>
      <c r="D34" s="281"/>
      <c r="E34" s="281"/>
      <c r="F34" s="281"/>
      <c r="G34" s="281"/>
    </row>
    <row r="35" spans="1:7" ht="19.5" customHeight="1" x14ac:dyDescent="0.3">
      <c r="A35" s="292"/>
      <c r="B35" s="296"/>
      <c r="C35" s="295"/>
      <c r="D35" s="295"/>
      <c r="E35" s="295"/>
      <c r="F35" s="295"/>
      <c r="G35" s="281"/>
    </row>
    <row r="36" spans="1:7" ht="27" customHeight="1" x14ac:dyDescent="0.4">
      <c r="A36" s="302" t="s">
        <v>126</v>
      </c>
      <c r="B36" s="303">
        <v>50</v>
      </c>
      <c r="C36" s="281"/>
      <c r="D36" s="488" t="s">
        <v>59</v>
      </c>
      <c r="E36" s="506"/>
      <c r="F36" s="488" t="s">
        <v>60</v>
      </c>
      <c r="G36" s="489"/>
    </row>
    <row r="37" spans="1:7" ht="26.25" customHeight="1" x14ac:dyDescent="0.4">
      <c r="A37" s="304" t="s">
        <v>61</v>
      </c>
      <c r="B37" s="305">
        <v>5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</row>
    <row r="38" spans="1:7" ht="26.25" customHeight="1" x14ac:dyDescent="0.4">
      <c r="A38" s="304" t="s">
        <v>66</v>
      </c>
      <c r="B38" s="305">
        <v>50</v>
      </c>
      <c r="C38" s="310">
        <v>1</v>
      </c>
      <c r="D38" s="311">
        <v>29301682</v>
      </c>
      <c r="E38" s="312">
        <f>IF(ISBLANK(D38),"-",$D$48/$D$45*D38)</f>
        <v>28718611.58285407</v>
      </c>
      <c r="F38" s="311">
        <v>27309413</v>
      </c>
      <c r="G38" s="313">
        <f>IF(ISBLANK(F38),"-",$D$48/$F$45*F38)</f>
        <v>28276884.981005996</v>
      </c>
    </row>
    <row r="39" spans="1:7" ht="26.25" customHeight="1" x14ac:dyDescent="0.4">
      <c r="A39" s="304" t="s">
        <v>67</v>
      </c>
      <c r="B39" s="305">
        <v>1</v>
      </c>
      <c r="C39" s="314">
        <v>2</v>
      </c>
      <c r="D39" s="315">
        <v>29353443</v>
      </c>
      <c r="E39" s="316">
        <f>IF(ISBLANK(D39),"-",$D$48/$D$45*D39)</f>
        <v>28769342.597344641</v>
      </c>
      <c r="F39" s="315">
        <v>27370982</v>
      </c>
      <c r="G39" s="317">
        <f>IF(ISBLANK(F39),"-",$D$48/$F$45*F39)</f>
        <v>28340635.144050349</v>
      </c>
    </row>
    <row r="40" spans="1:7" ht="26.25" customHeight="1" x14ac:dyDescent="0.4">
      <c r="A40" s="304" t="s">
        <v>68</v>
      </c>
      <c r="B40" s="305">
        <v>1</v>
      </c>
      <c r="C40" s="314">
        <v>3</v>
      </c>
      <c r="D40" s="315">
        <v>29257390</v>
      </c>
      <c r="E40" s="316">
        <f>IF(ISBLANK(D40),"-",$D$48/$D$45*D40)</f>
        <v>28675200.94368913</v>
      </c>
      <c r="F40" s="315">
        <v>27368915</v>
      </c>
      <c r="G40" s="317">
        <f>IF(ISBLANK(F40),"-",$D$48/$F$45*F40)</f>
        <v>28338494.917848643</v>
      </c>
    </row>
    <row r="41" spans="1:7" ht="26.25" customHeight="1" x14ac:dyDescent="0.4">
      <c r="A41" s="304" t="s">
        <v>69</v>
      </c>
      <c r="B41" s="305">
        <v>1</v>
      </c>
      <c r="C41" s="318">
        <v>4</v>
      </c>
      <c r="D41" s="319"/>
      <c r="E41" s="320" t="str">
        <f>IF(ISBLANK(D41),"-",$D$48/$D$45*D41)</f>
        <v>-</v>
      </c>
      <c r="F41" s="319"/>
      <c r="G41" s="321" t="str">
        <f>IF(ISBLANK(F41),"-",$D$48/$F$45*F41)</f>
        <v>-</v>
      </c>
    </row>
    <row r="42" spans="1:7" ht="27" customHeight="1" x14ac:dyDescent="0.4">
      <c r="A42" s="304" t="s">
        <v>70</v>
      </c>
      <c r="B42" s="305">
        <v>1</v>
      </c>
      <c r="C42" s="322" t="s">
        <v>71</v>
      </c>
      <c r="D42" s="323">
        <f>AVERAGE(D38:D41)</f>
        <v>29304171.666666668</v>
      </c>
      <c r="E42" s="324">
        <f>AVERAGE(E38:E41)</f>
        <v>28721051.707962614</v>
      </c>
      <c r="F42" s="323">
        <f>AVERAGE(F38:F41)</f>
        <v>27349770</v>
      </c>
      <c r="G42" s="325">
        <f>AVERAGE(G38:G41)</f>
        <v>28318671.680968329</v>
      </c>
    </row>
    <row r="43" spans="1:7" ht="26.25" customHeight="1" x14ac:dyDescent="0.4">
      <c r="A43" s="304" t="s">
        <v>72</v>
      </c>
      <c r="B43" s="305">
        <v>1</v>
      </c>
      <c r="C43" s="326" t="s">
        <v>113</v>
      </c>
      <c r="D43" s="327">
        <v>26.95</v>
      </c>
      <c r="E43" s="328"/>
      <c r="F43" s="327">
        <v>25.51</v>
      </c>
      <c r="G43" s="281"/>
    </row>
    <row r="44" spans="1:7" ht="26.25" customHeight="1" x14ac:dyDescent="0.4">
      <c r="A44" s="304" t="s">
        <v>74</v>
      </c>
      <c r="B44" s="305">
        <v>1</v>
      </c>
      <c r="C44" s="329" t="s">
        <v>114</v>
      </c>
      <c r="D44" s="330">
        <f>D43*$B$34</f>
        <v>25.975124140879345</v>
      </c>
      <c r="E44" s="331"/>
      <c r="F44" s="330">
        <f>F43*$B$34</f>
        <v>24.58721398270249</v>
      </c>
      <c r="G44" s="281"/>
    </row>
    <row r="45" spans="1:7" ht="19.5" customHeight="1" x14ac:dyDescent="0.3">
      <c r="A45" s="304" t="s">
        <v>76</v>
      </c>
      <c r="B45" s="332">
        <f>(B44/B43)*(B42/B41)*(B40/B39)*(B38/B37)*B36</f>
        <v>500</v>
      </c>
      <c r="C45" s="329" t="s">
        <v>77</v>
      </c>
      <c r="D45" s="333">
        <f>D44*$B$30/100</f>
        <v>25.507571906343518</v>
      </c>
      <c r="E45" s="334"/>
      <c r="F45" s="333">
        <f>F44*$B$30/100</f>
        <v>24.144644131013848</v>
      </c>
      <c r="G45" s="281"/>
    </row>
    <row r="46" spans="1:7" ht="19.5" customHeight="1" x14ac:dyDescent="0.3">
      <c r="A46" s="476" t="s">
        <v>78</v>
      </c>
      <c r="B46" s="477"/>
      <c r="C46" s="329" t="s">
        <v>79</v>
      </c>
      <c r="D46" s="330">
        <f>D45/$B$45</f>
        <v>5.1015143812687035E-2</v>
      </c>
      <c r="E46" s="334"/>
      <c r="F46" s="335">
        <f>F45/$B$45</f>
        <v>4.8289288262027698E-2</v>
      </c>
      <c r="G46" s="281"/>
    </row>
    <row r="47" spans="1:7" ht="27" customHeight="1" x14ac:dyDescent="0.4">
      <c r="A47" s="478"/>
      <c r="B47" s="479"/>
      <c r="C47" s="336" t="s">
        <v>127</v>
      </c>
      <c r="D47" s="337">
        <v>0.05</v>
      </c>
      <c r="E47" s="281"/>
      <c r="F47" s="338"/>
      <c r="G47" s="281"/>
    </row>
    <row r="48" spans="1:7" ht="18.75" customHeight="1" x14ac:dyDescent="0.3">
      <c r="A48" s="281"/>
      <c r="B48" s="281"/>
      <c r="C48" s="339" t="s">
        <v>81</v>
      </c>
      <c r="D48" s="333">
        <f>D47*$B$45</f>
        <v>25</v>
      </c>
      <c r="E48" s="281"/>
      <c r="F48" s="338"/>
      <c r="G48" s="281"/>
    </row>
    <row r="49" spans="1:7" ht="19.5" customHeight="1" x14ac:dyDescent="0.3">
      <c r="A49" s="281"/>
      <c r="B49" s="281"/>
      <c r="C49" s="340" t="s">
        <v>82</v>
      </c>
      <c r="D49" s="341">
        <f>D48/B34</f>
        <v>25.938278344535806</v>
      </c>
      <c r="E49" s="281"/>
      <c r="F49" s="338"/>
      <c r="G49" s="281"/>
    </row>
    <row r="50" spans="1:7" ht="18.75" customHeight="1" x14ac:dyDescent="0.3">
      <c r="A50" s="281"/>
      <c r="B50" s="281"/>
      <c r="C50" s="302" t="s">
        <v>83</v>
      </c>
      <c r="D50" s="342">
        <f>AVERAGE(E38:E41,G38:G41)</f>
        <v>28519861.694465473</v>
      </c>
      <c r="E50" s="281"/>
      <c r="F50" s="343"/>
      <c r="G50" s="281"/>
    </row>
    <row r="51" spans="1:7" ht="18.75" customHeight="1" x14ac:dyDescent="0.3">
      <c r="A51" s="281"/>
      <c r="B51" s="281"/>
      <c r="C51" s="304" t="s">
        <v>84</v>
      </c>
      <c r="D51" s="344">
        <f>STDEV(E38:E41,G38:G41)/D50</f>
        <v>7.8392323243048449E-3</v>
      </c>
      <c r="E51" s="281"/>
      <c r="F51" s="343"/>
      <c r="G51" s="281"/>
    </row>
    <row r="52" spans="1:7" ht="19.5" customHeight="1" x14ac:dyDescent="0.3">
      <c r="A52" s="281"/>
      <c r="B52" s="281"/>
      <c r="C52" s="345" t="s">
        <v>20</v>
      </c>
      <c r="D52" s="346">
        <f>COUNT(E38:E41,G38:G41)</f>
        <v>6</v>
      </c>
      <c r="E52" s="281"/>
      <c r="F52" s="343"/>
      <c r="G52" s="281"/>
    </row>
    <row r="53" spans="1:7" ht="18.75" customHeight="1" x14ac:dyDescent="0.3">
      <c r="A53" s="281"/>
      <c r="B53" s="281"/>
      <c r="C53" s="281"/>
      <c r="D53" s="281"/>
      <c r="E53" s="281"/>
      <c r="F53" s="281"/>
      <c r="G53" s="281"/>
    </row>
    <row r="54" spans="1:7" ht="18.75" customHeight="1" x14ac:dyDescent="0.3">
      <c r="A54" s="282" t="s">
        <v>1</v>
      </c>
      <c r="B54" s="347" t="s">
        <v>85</v>
      </c>
      <c r="C54" s="281"/>
      <c r="D54" s="281"/>
      <c r="E54" s="281"/>
      <c r="F54" s="281"/>
      <c r="G54" s="281"/>
    </row>
    <row r="55" spans="1:7" ht="18.75" customHeight="1" x14ac:dyDescent="0.3">
      <c r="A55" s="281" t="s">
        <v>86</v>
      </c>
      <c r="B55" s="348" t="str">
        <f>B21</f>
        <v>Each Tablet contains Montelukast 10mg</v>
      </c>
      <c r="C55" s="281"/>
      <c r="D55" s="281"/>
      <c r="E55" s="281"/>
      <c r="F55" s="281"/>
      <c r="G55" s="281"/>
    </row>
    <row r="56" spans="1:7" ht="26.25" customHeight="1" x14ac:dyDescent="0.4">
      <c r="A56" s="349" t="s">
        <v>87</v>
      </c>
      <c r="B56" s="350">
        <v>10</v>
      </c>
      <c r="C56" s="281" t="str">
        <f>B20</f>
        <v xml:space="preserve">Montelukast </v>
      </c>
      <c r="D56" s="281"/>
      <c r="E56" s="281"/>
      <c r="F56" s="281"/>
      <c r="G56" s="281"/>
    </row>
    <row r="57" spans="1:7" ht="17.25" customHeight="1" x14ac:dyDescent="0.3">
      <c r="A57" s="351" t="s">
        <v>88</v>
      </c>
      <c r="B57" s="351">
        <f>Uniformity!C46</f>
        <v>190.2945</v>
      </c>
      <c r="C57" s="351"/>
      <c r="D57" s="352"/>
      <c r="E57" s="352"/>
      <c r="F57" s="352"/>
      <c r="G57" s="352"/>
    </row>
    <row r="58" spans="1:7" ht="57.75" customHeight="1" x14ac:dyDescent="0.4">
      <c r="A58" s="302" t="s">
        <v>128</v>
      </c>
      <c r="B58" s="303">
        <v>50</v>
      </c>
      <c r="C58" s="353" t="s">
        <v>129</v>
      </c>
      <c r="D58" s="354" t="s">
        <v>130</v>
      </c>
      <c r="E58" s="355" t="s">
        <v>131</v>
      </c>
      <c r="F58" s="356" t="s">
        <v>132</v>
      </c>
      <c r="G58" s="357" t="s">
        <v>133</v>
      </c>
    </row>
    <row r="59" spans="1:7" ht="26.25" customHeight="1" x14ac:dyDescent="0.4">
      <c r="A59" s="304" t="s">
        <v>61</v>
      </c>
      <c r="B59" s="305">
        <v>5</v>
      </c>
      <c r="C59" s="358">
        <v>1</v>
      </c>
      <c r="D59" s="461">
        <v>28895911</v>
      </c>
      <c r="E59" s="359">
        <f t="shared" ref="E59:E68" si="0">IF(ISBLANK(D59),"-",D59/$D$50*$D$47*$B$67)</f>
        <v>10.131855234630223</v>
      </c>
      <c r="F59" s="360">
        <f t="shared" ref="F59:F68" si="1">IF(ISBLANK(D59),"-",E59/$E$70*100)</f>
        <v>103.40990191653678</v>
      </c>
      <c r="G59" s="361">
        <f t="shared" ref="G59:G68" si="2">IF(ISBLANK(D59),"-",E59/$B$56*100)</f>
        <v>101.31855234630223</v>
      </c>
    </row>
    <row r="60" spans="1:7" ht="26.25" customHeight="1" x14ac:dyDescent="0.4">
      <c r="A60" s="304" t="s">
        <v>66</v>
      </c>
      <c r="B60" s="305">
        <v>20</v>
      </c>
      <c r="C60" s="362">
        <v>2</v>
      </c>
      <c r="D60" s="462">
        <v>29083809</v>
      </c>
      <c r="E60" s="363">
        <f t="shared" si="0"/>
        <v>10.19773844332631</v>
      </c>
      <c r="F60" s="364">
        <f t="shared" si="1"/>
        <v>104.08233317334381</v>
      </c>
      <c r="G60" s="365">
        <f t="shared" si="2"/>
        <v>101.9773844332631</v>
      </c>
    </row>
    <row r="61" spans="1:7" ht="26.25" customHeight="1" x14ac:dyDescent="0.4">
      <c r="A61" s="304" t="s">
        <v>67</v>
      </c>
      <c r="B61" s="305">
        <v>1</v>
      </c>
      <c r="C61" s="362">
        <v>3</v>
      </c>
      <c r="D61" s="462">
        <v>27757886</v>
      </c>
      <c r="E61" s="363">
        <f t="shared" si="0"/>
        <v>9.7328263009727909</v>
      </c>
      <c r="F61" s="364">
        <f t="shared" si="1"/>
        <v>99.337247705061444</v>
      </c>
      <c r="G61" s="365">
        <f t="shared" si="2"/>
        <v>97.328263009727905</v>
      </c>
    </row>
    <row r="62" spans="1:7" ht="26.25" customHeight="1" x14ac:dyDescent="0.4">
      <c r="A62" s="304" t="s">
        <v>68</v>
      </c>
      <c r="B62" s="305">
        <v>1</v>
      </c>
      <c r="C62" s="362">
        <v>4</v>
      </c>
      <c r="D62" s="462">
        <v>27900970</v>
      </c>
      <c r="E62" s="363">
        <f t="shared" si="0"/>
        <v>9.7829962497379235</v>
      </c>
      <c r="F62" s="364">
        <f t="shared" si="1"/>
        <v>99.849302936883888</v>
      </c>
      <c r="G62" s="365">
        <f t="shared" si="2"/>
        <v>97.829962497379228</v>
      </c>
    </row>
    <row r="63" spans="1:7" ht="26.25" customHeight="1" x14ac:dyDescent="0.4">
      <c r="A63" s="304" t="s">
        <v>69</v>
      </c>
      <c r="B63" s="305">
        <v>1</v>
      </c>
      <c r="C63" s="362">
        <v>5</v>
      </c>
      <c r="D63" s="462">
        <v>27804532</v>
      </c>
      <c r="E63" s="363">
        <f t="shared" si="0"/>
        <v>9.7491819202600531</v>
      </c>
      <c r="F63" s="364">
        <f t="shared" si="1"/>
        <v>99.504179915117021</v>
      </c>
      <c r="G63" s="365">
        <f t="shared" si="2"/>
        <v>97.491819202600524</v>
      </c>
    </row>
    <row r="64" spans="1:7" ht="26.25" customHeight="1" x14ac:dyDescent="0.4">
      <c r="A64" s="304" t="s">
        <v>70</v>
      </c>
      <c r="B64" s="305">
        <v>1</v>
      </c>
      <c r="C64" s="362">
        <v>6</v>
      </c>
      <c r="D64" s="462">
        <v>27020254</v>
      </c>
      <c r="E64" s="363">
        <f t="shared" si="0"/>
        <v>9.4741883005847516</v>
      </c>
      <c r="F64" s="364">
        <f t="shared" si="1"/>
        <v>96.697481380667</v>
      </c>
      <c r="G64" s="365">
        <f t="shared" si="2"/>
        <v>94.741883005847512</v>
      </c>
    </row>
    <row r="65" spans="1:7" ht="26.25" customHeight="1" x14ac:dyDescent="0.4">
      <c r="A65" s="304" t="s">
        <v>72</v>
      </c>
      <c r="B65" s="305">
        <v>1</v>
      </c>
      <c r="C65" s="362">
        <v>7</v>
      </c>
      <c r="D65" s="462">
        <v>27160108</v>
      </c>
      <c r="E65" s="363">
        <f t="shared" si="0"/>
        <v>9.5232257052882741</v>
      </c>
      <c r="F65" s="364">
        <f t="shared" si="1"/>
        <v>97.197977399727804</v>
      </c>
      <c r="G65" s="365">
        <f t="shared" si="2"/>
        <v>95.232257052882744</v>
      </c>
    </row>
    <row r="66" spans="1:7" ht="26.25" customHeight="1" x14ac:dyDescent="0.4">
      <c r="A66" s="304" t="s">
        <v>74</v>
      </c>
      <c r="B66" s="305">
        <v>1</v>
      </c>
      <c r="C66" s="362">
        <v>8</v>
      </c>
      <c r="D66" s="462">
        <v>28359459</v>
      </c>
      <c r="E66" s="363">
        <f t="shared" si="0"/>
        <v>9.9437575482714919</v>
      </c>
      <c r="F66" s="364">
        <f t="shared" si="1"/>
        <v>101.49009919071412</v>
      </c>
      <c r="G66" s="365">
        <f t="shared" si="2"/>
        <v>99.437575482714919</v>
      </c>
    </row>
    <row r="67" spans="1:7" ht="27" customHeight="1" x14ac:dyDescent="0.4">
      <c r="A67" s="304" t="s">
        <v>76</v>
      </c>
      <c r="B67" s="332">
        <f>(B66/B65)*(B64/B63)*(B62/B61)*(B60/B59)*B58</f>
        <v>200</v>
      </c>
      <c r="C67" s="362">
        <v>9</v>
      </c>
      <c r="D67" s="462">
        <v>27416163</v>
      </c>
      <c r="E67" s="363">
        <f t="shared" si="0"/>
        <v>9.6130069962156739</v>
      </c>
      <c r="F67" s="364">
        <f t="shared" si="1"/>
        <v>98.114322360619994</v>
      </c>
      <c r="G67" s="365">
        <f t="shared" si="2"/>
        <v>96.130069962156739</v>
      </c>
    </row>
    <row r="68" spans="1:7" ht="27" customHeight="1" x14ac:dyDescent="0.4">
      <c r="A68" s="476" t="s">
        <v>78</v>
      </c>
      <c r="B68" s="491"/>
      <c r="C68" s="366">
        <v>10</v>
      </c>
      <c r="D68" s="463">
        <v>28031702</v>
      </c>
      <c r="E68" s="367">
        <f t="shared" si="0"/>
        <v>9.8288351817076993</v>
      </c>
      <c r="F68" s="368">
        <f t="shared" si="1"/>
        <v>100.31715402132808</v>
      </c>
      <c r="G68" s="369">
        <f t="shared" si="2"/>
        <v>98.288351817076986</v>
      </c>
    </row>
    <row r="69" spans="1:7" ht="19.5" customHeight="1" x14ac:dyDescent="0.3">
      <c r="A69" s="478"/>
      <c r="B69" s="492"/>
      <c r="C69" s="362"/>
      <c r="D69" s="334"/>
      <c r="E69" s="370"/>
      <c r="F69" s="352"/>
      <c r="G69" s="371"/>
    </row>
    <row r="70" spans="1:7" ht="26.25" customHeight="1" x14ac:dyDescent="0.4">
      <c r="A70" s="352"/>
      <c r="B70" s="352"/>
      <c r="C70" s="372" t="s">
        <v>134</v>
      </c>
      <c r="D70" s="373"/>
      <c r="E70" s="374">
        <f>AVERAGE(E59:E68)</f>
        <v>9.7977611880995195</v>
      </c>
      <c r="F70" s="374">
        <f>AVERAGE(F59:F68)</f>
        <v>99.999999999999986</v>
      </c>
      <c r="G70" s="375">
        <f>AVERAGE(G59:G68)</f>
        <v>97.977611880995184</v>
      </c>
    </row>
    <row r="71" spans="1:7" ht="26.25" customHeight="1" x14ac:dyDescent="0.4">
      <c r="A71" s="352"/>
      <c r="B71" s="352"/>
      <c r="C71" s="372"/>
      <c r="D71" s="373"/>
      <c r="E71" s="376">
        <f>STDEV(E59:E68)/E70</f>
        <v>2.4412061067108803E-2</v>
      </c>
      <c r="F71" s="376">
        <f>STDEV(F59:F68)/F70</f>
        <v>2.4412061067108838E-2</v>
      </c>
      <c r="G71" s="377">
        <f>STDEV(G59:G68)/G70</f>
        <v>2.4412061067108803E-2</v>
      </c>
    </row>
    <row r="72" spans="1:7" ht="27" customHeight="1" x14ac:dyDescent="0.4">
      <c r="A72" s="352"/>
      <c r="B72" s="352"/>
      <c r="C72" s="378"/>
      <c r="D72" s="379"/>
      <c r="E72" s="380">
        <f>COUNT(E59:E68)</f>
        <v>10</v>
      </c>
      <c r="F72" s="380">
        <f>COUNT(F59:F68)</f>
        <v>10</v>
      </c>
      <c r="G72" s="381">
        <f>COUNT(G59:G68)</f>
        <v>10</v>
      </c>
    </row>
    <row r="73" spans="1:7" ht="18.75" customHeight="1" x14ac:dyDescent="0.3">
      <c r="A73" s="352"/>
      <c r="B73" s="382"/>
      <c r="C73" s="382"/>
      <c r="D73" s="331"/>
      <c r="E73" s="373"/>
      <c r="F73" s="328"/>
      <c r="G73" s="383"/>
    </row>
    <row r="74" spans="1:7" ht="18.75" customHeight="1" x14ac:dyDescent="0.3">
      <c r="A74" s="291" t="s">
        <v>135</v>
      </c>
      <c r="B74" s="384" t="s">
        <v>107</v>
      </c>
      <c r="C74" s="480" t="str">
        <f>B20</f>
        <v xml:space="preserve">Montelukast </v>
      </c>
      <c r="D74" s="480"/>
      <c r="E74" s="385" t="s">
        <v>108</v>
      </c>
      <c r="F74" s="385"/>
      <c r="G74" s="386">
        <f>G70</f>
        <v>97.977611880995184</v>
      </c>
    </row>
    <row r="75" spans="1:7" ht="18.75" customHeight="1" x14ac:dyDescent="0.3">
      <c r="A75" s="291"/>
      <c r="B75" s="384"/>
      <c r="C75" s="387"/>
      <c r="D75" s="387"/>
      <c r="E75" s="385"/>
      <c r="F75" s="385"/>
      <c r="G75" s="388"/>
    </row>
    <row r="76" spans="1:7" ht="18.75" customHeight="1" x14ac:dyDescent="0.3">
      <c r="A76" s="282" t="s">
        <v>1</v>
      </c>
      <c r="B76" s="389" t="s">
        <v>136</v>
      </c>
      <c r="C76" s="281"/>
      <c r="D76" s="281"/>
      <c r="E76" s="281"/>
      <c r="F76" s="281"/>
      <c r="G76" s="352"/>
    </row>
    <row r="77" spans="1:7" ht="18.75" customHeight="1" x14ac:dyDescent="0.3">
      <c r="A77" s="282"/>
      <c r="B77" s="347"/>
      <c r="C77" s="281"/>
      <c r="D77" s="281"/>
      <c r="E77" s="281"/>
      <c r="F77" s="281"/>
      <c r="G77" s="352"/>
    </row>
    <row r="78" spans="1:7" ht="18.75" customHeight="1" x14ac:dyDescent="0.3">
      <c r="A78" s="352"/>
      <c r="B78" s="513" t="s">
        <v>137</v>
      </c>
      <c r="C78" s="514"/>
      <c r="D78" s="281"/>
      <c r="E78" s="352"/>
      <c r="F78" s="352"/>
      <c r="G78" s="352"/>
    </row>
    <row r="79" spans="1:7" ht="18.75" customHeight="1" x14ac:dyDescent="0.3">
      <c r="A79" s="352"/>
      <c r="B79" s="390" t="s">
        <v>43</v>
      </c>
      <c r="C79" s="391">
        <f>G70</f>
        <v>97.977611880995184</v>
      </c>
      <c r="D79" s="281"/>
      <c r="E79" s="352"/>
      <c r="F79" s="352"/>
      <c r="G79" s="352"/>
    </row>
    <row r="80" spans="1:7" ht="26.25" customHeight="1" x14ac:dyDescent="0.4">
      <c r="A80" s="352"/>
      <c r="B80" s="390" t="s">
        <v>138</v>
      </c>
      <c r="C80" s="392">
        <v>2.4</v>
      </c>
      <c r="D80" s="281"/>
      <c r="E80" s="352"/>
      <c r="F80" s="352"/>
      <c r="G80" s="352"/>
    </row>
    <row r="81" spans="1:7" ht="18.75" customHeight="1" x14ac:dyDescent="0.3">
      <c r="A81" s="352"/>
      <c r="B81" s="390" t="s">
        <v>139</v>
      </c>
      <c r="C81" s="391">
        <f>STDEV(G59:G68)</f>
        <v>2.3918354444483394</v>
      </c>
      <c r="D81" s="281"/>
      <c r="E81" s="352"/>
      <c r="F81" s="352"/>
      <c r="G81" s="352"/>
    </row>
    <row r="82" spans="1:7" ht="18.75" customHeight="1" x14ac:dyDescent="0.3">
      <c r="A82" s="352"/>
      <c r="B82" s="390" t="s">
        <v>140</v>
      </c>
      <c r="C82" s="391">
        <f>IF(OR(G70&lt;98.5,G70&gt;101.5),(IF(98.5&gt;G70,98.5,101.5)),C79)</f>
        <v>98.5</v>
      </c>
      <c r="D82" s="281"/>
      <c r="E82" s="352"/>
      <c r="F82" s="352"/>
      <c r="G82" s="352"/>
    </row>
    <row r="83" spans="1:7" ht="18.75" customHeight="1" x14ac:dyDescent="0.3">
      <c r="A83" s="352"/>
      <c r="B83" s="390" t="s">
        <v>141</v>
      </c>
      <c r="C83" s="393">
        <f>ABS(C82-C79)+(C80*C81)</f>
        <v>6.2627931856808301</v>
      </c>
      <c r="D83" s="281"/>
      <c r="E83" s="352"/>
      <c r="F83" s="352"/>
      <c r="G83" s="352"/>
    </row>
    <row r="84" spans="1:7" ht="12.75" customHeight="1" x14ac:dyDescent="0.3">
      <c r="A84" s="349"/>
      <c r="B84" s="394"/>
      <c r="C84" s="281"/>
      <c r="D84" s="281"/>
      <c r="E84" s="281"/>
      <c r="F84" s="281"/>
      <c r="G84" s="281"/>
    </row>
    <row r="85" spans="1:7" ht="18.75" hidden="1" customHeight="1" x14ac:dyDescent="0.3">
      <c r="A85" s="290" t="s">
        <v>109</v>
      </c>
      <c r="B85" s="290" t="s">
        <v>110</v>
      </c>
      <c r="C85" s="281"/>
      <c r="D85" s="281"/>
      <c r="E85" s="281"/>
      <c r="F85" s="281"/>
      <c r="G85" s="281"/>
    </row>
    <row r="86" spans="1:7" ht="18.75" hidden="1" customHeight="1" x14ac:dyDescent="0.3">
      <c r="A86" s="290"/>
      <c r="B86" s="290"/>
      <c r="C86" s="281"/>
      <c r="D86" s="281"/>
      <c r="E86" s="281"/>
      <c r="F86" s="281"/>
      <c r="G86" s="281"/>
    </row>
    <row r="87" spans="1:7" ht="26.25" hidden="1" customHeight="1" x14ac:dyDescent="0.4">
      <c r="A87" s="291" t="s">
        <v>4</v>
      </c>
      <c r="B87" s="503"/>
      <c r="C87" s="503"/>
      <c r="D87" s="281"/>
      <c r="E87" s="281"/>
      <c r="F87" s="281"/>
      <c r="G87" s="281"/>
    </row>
    <row r="88" spans="1:7" ht="26.25" hidden="1" customHeight="1" x14ac:dyDescent="0.4">
      <c r="A88" s="292" t="s">
        <v>48</v>
      </c>
      <c r="B88" s="505"/>
      <c r="C88" s="505"/>
      <c r="D88" s="281"/>
      <c r="E88" s="281"/>
      <c r="F88" s="281"/>
      <c r="G88" s="281"/>
    </row>
    <row r="89" spans="1:7" ht="27" hidden="1" customHeight="1" x14ac:dyDescent="0.4">
      <c r="A89" s="292" t="s">
        <v>6</v>
      </c>
      <c r="B89" s="293">
        <f>B32</f>
        <v>608.17999999999995</v>
      </c>
      <c r="C89" s="281"/>
      <c r="D89" s="281"/>
      <c r="E89" s="281"/>
      <c r="F89" s="281"/>
      <c r="G89" s="281"/>
    </row>
    <row r="90" spans="1:7" ht="27" hidden="1" customHeight="1" x14ac:dyDescent="0.4">
      <c r="A90" s="292" t="s">
        <v>49</v>
      </c>
      <c r="B90" s="293">
        <f>B33</f>
        <v>0</v>
      </c>
      <c r="C90" s="482" t="s">
        <v>50</v>
      </c>
      <c r="D90" s="483"/>
      <c r="E90" s="483"/>
      <c r="F90" s="483"/>
      <c r="G90" s="484"/>
    </row>
    <row r="91" spans="1:7" ht="18.75" hidden="1" customHeight="1" x14ac:dyDescent="0.3">
      <c r="A91" s="292" t="s">
        <v>51</v>
      </c>
      <c r="B91" s="296">
        <f>B89-B90</f>
        <v>608.17999999999995</v>
      </c>
      <c r="C91" s="395"/>
      <c r="D91" s="395"/>
      <c r="E91" s="395"/>
      <c r="F91" s="395"/>
      <c r="G91" s="396"/>
    </row>
    <row r="92" spans="1:7" ht="19.5" hidden="1" customHeight="1" x14ac:dyDescent="0.3">
      <c r="A92" s="292"/>
      <c r="B92" s="296"/>
      <c r="C92" s="395"/>
      <c r="D92" s="395"/>
      <c r="E92" s="395"/>
      <c r="F92" s="395"/>
      <c r="G92" s="396"/>
    </row>
    <row r="93" spans="1:7" ht="27" hidden="1" customHeight="1" x14ac:dyDescent="0.4">
      <c r="A93" s="292" t="s">
        <v>52</v>
      </c>
      <c r="B93" s="298">
        <v>1</v>
      </c>
      <c r="C93" s="485" t="s">
        <v>142</v>
      </c>
      <c r="D93" s="486"/>
      <c r="E93" s="486"/>
      <c r="F93" s="486"/>
      <c r="G93" s="486"/>
    </row>
    <row r="94" spans="1:7" ht="27" hidden="1" customHeight="1" x14ac:dyDescent="0.4">
      <c r="A94" s="292" t="s">
        <v>54</v>
      </c>
      <c r="B94" s="298">
        <v>1</v>
      </c>
      <c r="C94" s="485" t="s">
        <v>143</v>
      </c>
      <c r="D94" s="486"/>
      <c r="E94" s="486"/>
      <c r="F94" s="486"/>
      <c r="G94" s="486"/>
    </row>
    <row r="95" spans="1:7" ht="18.75" hidden="1" customHeight="1" x14ac:dyDescent="0.3">
      <c r="A95" s="292"/>
      <c r="B95" s="299"/>
      <c r="C95" s="300"/>
      <c r="D95" s="300"/>
      <c r="E95" s="300"/>
      <c r="F95" s="300"/>
      <c r="G95" s="300"/>
    </row>
    <row r="96" spans="1:7" ht="10.5" hidden="1" customHeight="1" x14ac:dyDescent="0.3">
      <c r="A96" s="292" t="s">
        <v>56</v>
      </c>
      <c r="B96" s="301">
        <f>B93/B94</f>
        <v>1</v>
      </c>
      <c r="C96" s="281" t="s">
        <v>57</v>
      </c>
      <c r="D96" s="281"/>
      <c r="E96" s="281"/>
      <c r="F96" s="281"/>
      <c r="G96" s="281"/>
    </row>
    <row r="97" spans="1:7" ht="19.5" hidden="1" customHeight="1" x14ac:dyDescent="0.3">
      <c r="A97" s="290"/>
      <c r="B97" s="290"/>
      <c r="C97" s="281"/>
      <c r="D97" s="281"/>
      <c r="E97" s="281"/>
      <c r="F97" s="281"/>
      <c r="G97" s="281"/>
    </row>
    <row r="98" spans="1:7" ht="27" hidden="1" customHeight="1" x14ac:dyDescent="0.4">
      <c r="A98" s="302" t="s">
        <v>126</v>
      </c>
      <c r="B98" s="397">
        <v>1</v>
      </c>
      <c r="C98" s="281"/>
      <c r="D98" s="398" t="s">
        <v>59</v>
      </c>
      <c r="E98" s="399"/>
      <c r="F98" s="488" t="s">
        <v>60</v>
      </c>
      <c r="G98" s="489"/>
    </row>
    <row r="99" spans="1:7" ht="26.25" hidden="1" customHeight="1" x14ac:dyDescent="0.4">
      <c r="A99" s="304" t="s">
        <v>61</v>
      </c>
      <c r="B99" s="400">
        <v>1</v>
      </c>
      <c r="C99" s="306" t="s">
        <v>62</v>
      </c>
      <c r="D99" s="307" t="s">
        <v>63</v>
      </c>
      <c r="E99" s="308" t="s">
        <v>64</v>
      </c>
      <c r="F99" s="307" t="s">
        <v>63</v>
      </c>
      <c r="G99" s="309" t="s">
        <v>64</v>
      </c>
    </row>
    <row r="100" spans="1:7" ht="26.25" hidden="1" customHeight="1" x14ac:dyDescent="0.4">
      <c r="A100" s="304" t="s">
        <v>66</v>
      </c>
      <c r="B100" s="400">
        <v>1</v>
      </c>
      <c r="C100" s="310">
        <v>1</v>
      </c>
      <c r="D100" s="311"/>
      <c r="E100" s="401" t="str">
        <f>IF(ISBLANK(D100),"-",$D$110/$D$107*D100)</f>
        <v>-</v>
      </c>
      <c r="F100" s="402"/>
      <c r="G100" s="313" t="str">
        <f>IF(ISBLANK(F100),"-",$D$110/$F$107*F100)</f>
        <v>-</v>
      </c>
    </row>
    <row r="101" spans="1:7" ht="26.25" hidden="1" customHeight="1" x14ac:dyDescent="0.4">
      <c r="A101" s="304" t="s">
        <v>67</v>
      </c>
      <c r="B101" s="400">
        <v>1</v>
      </c>
      <c r="C101" s="314">
        <v>2</v>
      </c>
      <c r="D101" s="315"/>
      <c r="E101" s="403" t="str">
        <f>IF(ISBLANK(D101),"-",$D$110/$D$107*D101)</f>
        <v>-</v>
      </c>
      <c r="F101" s="293"/>
      <c r="G101" s="317" t="str">
        <f>IF(ISBLANK(F101),"-",$D$110/$F$107*F101)</f>
        <v>-</v>
      </c>
    </row>
    <row r="102" spans="1:7" ht="26.25" hidden="1" customHeight="1" x14ac:dyDescent="0.4">
      <c r="A102" s="304" t="s">
        <v>68</v>
      </c>
      <c r="B102" s="400">
        <v>1</v>
      </c>
      <c r="C102" s="314">
        <v>3</v>
      </c>
      <c r="D102" s="315"/>
      <c r="E102" s="403" t="str">
        <f>IF(ISBLANK(D102),"-",$D$110/$D$107*D102)</f>
        <v>-</v>
      </c>
      <c r="F102" s="404"/>
      <c r="G102" s="317" t="str">
        <f>IF(ISBLANK(F102),"-",$D$110/$F$107*F102)</f>
        <v>-</v>
      </c>
    </row>
    <row r="103" spans="1:7" ht="26.25" hidden="1" customHeight="1" x14ac:dyDescent="0.4">
      <c r="A103" s="304" t="s">
        <v>69</v>
      </c>
      <c r="B103" s="400">
        <v>1</v>
      </c>
      <c r="C103" s="318">
        <v>4</v>
      </c>
      <c r="D103" s="319"/>
      <c r="E103" s="405" t="str">
        <f>IF(ISBLANK(D103),"-",$D$110/$D$107*D103)</f>
        <v>-</v>
      </c>
      <c r="F103" s="406"/>
      <c r="G103" s="321" t="str">
        <f>IF(ISBLANK(F103),"-",$D$110/$F$107*F103)</f>
        <v>-</v>
      </c>
    </row>
    <row r="104" spans="1:7" ht="27" hidden="1" customHeight="1" x14ac:dyDescent="0.4">
      <c r="A104" s="304" t="s">
        <v>70</v>
      </c>
      <c r="B104" s="400">
        <v>1</v>
      </c>
      <c r="C104" s="322" t="s">
        <v>71</v>
      </c>
      <c r="D104" s="407" t="e">
        <f>AVERAGE(D100:D103)</f>
        <v>#DIV/0!</v>
      </c>
      <c r="E104" s="324" t="e">
        <f>AVERAGE(E100:E103)</f>
        <v>#DIV/0!</v>
      </c>
      <c r="F104" s="407" t="e">
        <f>AVERAGE(F100:F103)</f>
        <v>#DIV/0!</v>
      </c>
      <c r="G104" s="408" t="e">
        <f>AVERAGE(G100:G103)</f>
        <v>#DIV/0!</v>
      </c>
    </row>
    <row r="105" spans="1:7" ht="26.25" hidden="1" customHeight="1" x14ac:dyDescent="0.4">
      <c r="A105" s="304" t="s">
        <v>72</v>
      </c>
      <c r="B105" s="400">
        <v>1</v>
      </c>
      <c r="C105" s="326" t="s">
        <v>113</v>
      </c>
      <c r="D105" s="409"/>
      <c r="E105" s="328"/>
      <c r="F105" s="327"/>
      <c r="G105" s="281"/>
    </row>
    <row r="106" spans="1:7" ht="26.25" hidden="1" customHeight="1" x14ac:dyDescent="0.4">
      <c r="A106" s="304" t="s">
        <v>74</v>
      </c>
      <c r="B106" s="400">
        <v>1</v>
      </c>
      <c r="C106" s="329" t="s">
        <v>114</v>
      </c>
      <c r="D106" s="410">
        <f>D105*$B$96</f>
        <v>0</v>
      </c>
      <c r="E106" s="331"/>
      <c r="F106" s="330">
        <f>F105*$B$96</f>
        <v>0</v>
      </c>
      <c r="G106" s="281"/>
    </row>
    <row r="107" spans="1:7" ht="19.5" hidden="1" customHeight="1" x14ac:dyDescent="0.3">
      <c r="A107" s="304" t="s">
        <v>76</v>
      </c>
      <c r="B107" s="442">
        <f>(B106/B105)*(B104/B103)*(B102/B101)*(B100/B99)*B98</f>
        <v>1</v>
      </c>
      <c r="C107" s="329" t="s">
        <v>77</v>
      </c>
      <c r="D107" s="411">
        <f>D106*$B$91/100</f>
        <v>0</v>
      </c>
      <c r="E107" s="334"/>
      <c r="F107" s="333">
        <f>F106*$B$91/100</f>
        <v>0</v>
      </c>
      <c r="G107" s="281"/>
    </row>
    <row r="108" spans="1:7" ht="19.5" hidden="1" customHeight="1" x14ac:dyDescent="0.3">
      <c r="A108" s="476" t="s">
        <v>78</v>
      </c>
      <c r="B108" s="477"/>
      <c r="C108" s="329" t="s">
        <v>79</v>
      </c>
      <c r="D108" s="410">
        <f>D107/$B$107</f>
        <v>0</v>
      </c>
      <c r="E108" s="334"/>
      <c r="F108" s="335">
        <f>F107/$B$107</f>
        <v>0</v>
      </c>
      <c r="G108" s="412"/>
    </row>
    <row r="109" spans="1:7" ht="15" hidden="1" customHeight="1" x14ac:dyDescent="0.3">
      <c r="A109" s="478"/>
      <c r="B109" s="479"/>
      <c r="C109" s="460" t="s">
        <v>127</v>
      </c>
      <c r="D109" s="414">
        <f>$B$56/$B$125</f>
        <v>10</v>
      </c>
      <c r="E109" s="281"/>
      <c r="F109" s="338"/>
      <c r="G109" s="415"/>
    </row>
    <row r="110" spans="1:7" ht="18.75" hidden="1" customHeight="1" x14ac:dyDescent="0.3">
      <c r="A110" s="281"/>
      <c r="B110" s="281"/>
      <c r="C110" s="413" t="s">
        <v>81</v>
      </c>
      <c r="D110" s="410">
        <f>D109*$B$107</f>
        <v>10</v>
      </c>
      <c r="E110" s="281"/>
      <c r="F110" s="338"/>
      <c r="G110" s="412"/>
    </row>
    <row r="111" spans="1:7" ht="19.5" hidden="1" customHeight="1" x14ac:dyDescent="0.3">
      <c r="A111" s="281"/>
      <c r="B111" s="281"/>
      <c r="C111" s="416" t="s">
        <v>82</v>
      </c>
      <c r="D111" s="417">
        <f>D110/B96</f>
        <v>10</v>
      </c>
      <c r="E111" s="281"/>
      <c r="F111" s="343"/>
      <c r="G111" s="412"/>
    </row>
    <row r="112" spans="1:7" ht="18.75" hidden="1" customHeight="1" x14ac:dyDescent="0.3">
      <c r="A112" s="281"/>
      <c r="B112" s="281"/>
      <c r="C112" s="418" t="s">
        <v>83</v>
      </c>
      <c r="D112" s="419" t="e">
        <f>AVERAGE(E100:E103,G100:G103)</f>
        <v>#DIV/0!</v>
      </c>
      <c r="E112" s="281"/>
      <c r="F112" s="343"/>
      <c r="G112" s="420"/>
    </row>
    <row r="113" spans="1:7" ht="18.75" hidden="1" customHeight="1" x14ac:dyDescent="0.3">
      <c r="A113" s="281"/>
      <c r="B113" s="281"/>
      <c r="C113" s="421" t="s">
        <v>84</v>
      </c>
      <c r="D113" s="422" t="e">
        <f>STDEV(E100:E103,G100:G103)/D112</f>
        <v>#DIV/0!</v>
      </c>
      <c r="E113" s="281"/>
      <c r="F113" s="343"/>
      <c r="G113" s="412"/>
    </row>
    <row r="114" spans="1:7" ht="19.5" hidden="1" customHeight="1" x14ac:dyDescent="0.3">
      <c r="A114" s="281"/>
      <c r="B114" s="281"/>
      <c r="C114" s="423" t="s">
        <v>20</v>
      </c>
      <c r="D114" s="424">
        <f>COUNT(E100:E103,G100:G103)</f>
        <v>0</v>
      </c>
      <c r="E114" s="281"/>
      <c r="F114" s="343"/>
      <c r="G114" s="412"/>
    </row>
    <row r="115" spans="1:7" ht="19.5" hidden="1" customHeight="1" x14ac:dyDescent="0.3">
      <c r="A115" s="282"/>
      <c r="B115" s="282"/>
      <c r="C115" s="282"/>
      <c r="D115" s="282"/>
      <c r="E115" s="282"/>
      <c r="F115" s="281"/>
      <c r="G115" s="281"/>
    </row>
    <row r="116" spans="1:7" ht="26.25" hidden="1" customHeight="1" x14ac:dyDescent="0.4">
      <c r="A116" s="302" t="s">
        <v>118</v>
      </c>
      <c r="B116" s="397">
        <v>1</v>
      </c>
      <c r="C116" s="425" t="s">
        <v>144</v>
      </c>
      <c r="D116" s="426" t="s">
        <v>63</v>
      </c>
      <c r="E116" s="427" t="s">
        <v>120</v>
      </c>
      <c r="F116" s="428" t="s">
        <v>121</v>
      </c>
      <c r="G116" s="281"/>
    </row>
    <row r="117" spans="1:7" ht="26.25" hidden="1" customHeight="1" x14ac:dyDescent="0.4">
      <c r="A117" s="304" t="s">
        <v>122</v>
      </c>
      <c r="B117" s="400">
        <v>1</v>
      </c>
      <c r="C117" s="362">
        <v>1</v>
      </c>
      <c r="D117" s="429"/>
      <c r="E117" s="430" t="str">
        <f t="shared" ref="E117:E122" si="3">IF(ISBLANK(D117),"-",D117/$D$112*$D$109*$B$125)</f>
        <v>-</v>
      </c>
      <c r="F117" s="431" t="str">
        <f t="shared" ref="F117:F122" si="4">IF(ISBLANK(D117), "-", E117/$B$56)</f>
        <v>-</v>
      </c>
      <c r="G117" s="281"/>
    </row>
    <row r="118" spans="1:7" ht="26.25" hidden="1" customHeight="1" x14ac:dyDescent="0.4">
      <c r="A118" s="304" t="s">
        <v>95</v>
      </c>
      <c r="B118" s="400">
        <v>1</v>
      </c>
      <c r="C118" s="362">
        <v>2</v>
      </c>
      <c r="D118" s="429"/>
      <c r="E118" s="432" t="str">
        <f t="shared" si="3"/>
        <v>-</v>
      </c>
      <c r="F118" s="433" t="str">
        <f t="shared" si="4"/>
        <v>-</v>
      </c>
      <c r="G118" s="281"/>
    </row>
    <row r="119" spans="1:7" ht="26.25" hidden="1" customHeight="1" x14ac:dyDescent="0.4">
      <c r="A119" s="304" t="s">
        <v>96</v>
      </c>
      <c r="B119" s="400">
        <v>1</v>
      </c>
      <c r="C119" s="362">
        <v>3</v>
      </c>
      <c r="D119" s="429"/>
      <c r="E119" s="432" t="str">
        <f t="shared" si="3"/>
        <v>-</v>
      </c>
      <c r="F119" s="433" t="str">
        <f t="shared" si="4"/>
        <v>-</v>
      </c>
      <c r="G119" s="281"/>
    </row>
    <row r="120" spans="1:7" ht="26.25" hidden="1" customHeight="1" x14ac:dyDescent="0.4">
      <c r="A120" s="304" t="s">
        <v>97</v>
      </c>
      <c r="B120" s="400">
        <v>1</v>
      </c>
      <c r="C120" s="362">
        <v>4</v>
      </c>
      <c r="D120" s="429"/>
      <c r="E120" s="432" t="str">
        <f t="shared" si="3"/>
        <v>-</v>
      </c>
      <c r="F120" s="433" t="str">
        <f t="shared" si="4"/>
        <v>-</v>
      </c>
      <c r="G120" s="281"/>
    </row>
    <row r="121" spans="1:7" ht="26.25" hidden="1" customHeight="1" x14ac:dyDescent="0.4">
      <c r="A121" s="304" t="s">
        <v>98</v>
      </c>
      <c r="B121" s="400">
        <v>1</v>
      </c>
      <c r="C121" s="362">
        <v>5</v>
      </c>
      <c r="D121" s="429"/>
      <c r="E121" s="432" t="str">
        <f t="shared" si="3"/>
        <v>-</v>
      </c>
      <c r="F121" s="433" t="str">
        <f t="shared" si="4"/>
        <v>-</v>
      </c>
      <c r="G121" s="281"/>
    </row>
    <row r="122" spans="1:7" ht="26.25" hidden="1" customHeight="1" x14ac:dyDescent="0.4">
      <c r="A122" s="304" t="s">
        <v>100</v>
      </c>
      <c r="B122" s="400">
        <v>1</v>
      </c>
      <c r="C122" s="434">
        <v>6</v>
      </c>
      <c r="D122" s="435"/>
      <c r="E122" s="436" t="str">
        <f t="shared" si="3"/>
        <v>-</v>
      </c>
      <c r="F122" s="437" t="str">
        <f t="shared" si="4"/>
        <v>-</v>
      </c>
      <c r="G122" s="281"/>
    </row>
    <row r="123" spans="1:7" ht="26.25" hidden="1" customHeight="1" x14ac:dyDescent="0.4">
      <c r="A123" s="304" t="s">
        <v>101</v>
      </c>
      <c r="B123" s="400">
        <v>1</v>
      </c>
      <c r="C123" s="362"/>
      <c r="D123" s="438"/>
      <c r="E123" s="382"/>
      <c r="F123" s="365"/>
      <c r="G123" s="281"/>
    </row>
    <row r="124" spans="1:7" ht="26.25" hidden="1" customHeight="1" x14ac:dyDescent="0.4">
      <c r="A124" s="304" t="s">
        <v>102</v>
      </c>
      <c r="B124" s="400">
        <v>1</v>
      </c>
      <c r="C124" s="362"/>
      <c r="D124" s="439"/>
      <c r="E124" s="440" t="s">
        <v>71</v>
      </c>
      <c r="F124" s="441" t="e">
        <f>AVERAGE(F117:F122)</f>
        <v>#DIV/0!</v>
      </c>
      <c r="G124" s="281"/>
    </row>
    <row r="125" spans="1:7" ht="27" hidden="1" customHeight="1" x14ac:dyDescent="0.4">
      <c r="A125" s="304" t="s">
        <v>103</v>
      </c>
      <c r="B125" s="442">
        <f>(B124/B123)*(B122/B121)*(B120/B119)*(B118/B117)*B116</f>
        <v>1</v>
      </c>
      <c r="C125" s="443"/>
      <c r="D125" s="444"/>
      <c r="E125" s="340" t="s">
        <v>84</v>
      </c>
      <c r="F125" s="377" t="e">
        <f>STDEV(F117:F122)/F124</f>
        <v>#DIV/0!</v>
      </c>
      <c r="G125" s="281"/>
    </row>
    <row r="126" spans="1:7" ht="27" hidden="1" customHeight="1" x14ac:dyDescent="0.4">
      <c r="A126" s="476" t="s">
        <v>78</v>
      </c>
      <c r="B126" s="477"/>
      <c r="C126" s="445"/>
      <c r="D126" s="446"/>
      <c r="E126" s="447" t="s">
        <v>20</v>
      </c>
      <c r="F126" s="448">
        <f>COUNT(F117:F122)</f>
        <v>0</v>
      </c>
      <c r="G126" s="281"/>
    </row>
    <row r="127" spans="1:7" ht="19.5" hidden="1" customHeight="1" x14ac:dyDescent="0.3">
      <c r="A127" s="478"/>
      <c r="B127" s="479"/>
      <c r="C127" s="382"/>
      <c r="D127" s="382"/>
      <c r="E127" s="382"/>
      <c r="F127" s="438"/>
      <c r="G127" s="382"/>
    </row>
    <row r="128" spans="1:7" ht="18.75" hidden="1" customHeight="1" x14ac:dyDescent="0.3">
      <c r="A128" s="300"/>
      <c r="B128" s="300"/>
      <c r="C128" s="382"/>
      <c r="D128" s="382"/>
      <c r="E128" s="382"/>
      <c r="F128" s="438"/>
      <c r="G128" s="382"/>
    </row>
    <row r="129" spans="1:7" ht="18.75" hidden="1" customHeight="1" x14ac:dyDescent="0.3">
      <c r="A129" s="291" t="s">
        <v>135</v>
      </c>
      <c r="B129" s="384" t="s">
        <v>123</v>
      </c>
      <c r="C129" s="480" t="str">
        <f>B20</f>
        <v xml:space="preserve">Montelukast </v>
      </c>
      <c r="D129" s="480"/>
      <c r="E129" s="385" t="s">
        <v>124</v>
      </c>
      <c r="F129" s="385"/>
      <c r="G129" s="388" t="e">
        <f>F124</f>
        <v>#DIV/0!</v>
      </c>
    </row>
    <row r="130" spans="1:7" ht="19.5" hidden="1" customHeight="1" x14ac:dyDescent="0.3">
      <c r="A130" s="449"/>
      <c r="B130" s="449"/>
      <c r="C130" s="450"/>
      <c r="D130" s="450"/>
      <c r="E130" s="450"/>
      <c r="F130" s="450"/>
      <c r="G130" s="450"/>
    </row>
    <row r="131" spans="1:7" ht="18.75" customHeight="1" x14ac:dyDescent="0.3">
      <c r="A131" s="281"/>
      <c r="B131" s="481" t="s">
        <v>26</v>
      </c>
      <c r="C131" s="481"/>
      <c r="D131" s="281"/>
      <c r="E131" s="451" t="s">
        <v>27</v>
      </c>
      <c r="F131" s="452"/>
      <c r="G131" s="459" t="s">
        <v>28</v>
      </c>
    </row>
    <row r="132" spans="1:7" ht="60" customHeight="1" x14ac:dyDescent="0.3">
      <c r="A132" s="453" t="s">
        <v>29</v>
      </c>
      <c r="B132" s="454"/>
      <c r="C132" s="454"/>
      <c r="D132" s="281"/>
      <c r="E132" s="454"/>
      <c r="F132" s="382"/>
      <c r="G132" s="455"/>
    </row>
    <row r="133" spans="1:7" ht="60" customHeight="1" x14ac:dyDescent="0.3">
      <c r="A133" s="453" t="s">
        <v>30</v>
      </c>
      <c r="B133" s="456"/>
      <c r="C133" s="456"/>
      <c r="D133" s="281"/>
      <c r="E133" s="456"/>
      <c r="F133" s="382"/>
      <c r="G133" s="457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6:H37"/>
  <sheetViews>
    <sheetView tabSelected="1" topLeftCell="A2" workbookViewId="0">
      <selection activeCell="H38" sqref="H38"/>
    </sheetView>
  </sheetViews>
  <sheetFormatPr defaultRowHeight="12.75" x14ac:dyDescent="0.2"/>
  <sheetData>
    <row r="36" spans="7:8" x14ac:dyDescent="0.2">
      <c r="G36">
        <f>9*5+14</f>
        <v>59</v>
      </c>
      <c r="H36">
        <f>59+30</f>
        <v>89</v>
      </c>
    </row>
    <row r="37" spans="7:8" x14ac:dyDescent="0.2">
      <c r="G37">
        <f>15*G36</f>
        <v>885</v>
      </c>
      <c r="H37">
        <f>H36*15</f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Montelukast</vt:lpstr>
      <vt:lpstr>Montelukast 1</vt:lpstr>
      <vt:lpstr>Sheet1</vt:lpstr>
      <vt:lpstr>Montelukast!Print_Area</vt:lpstr>
      <vt:lpstr>'Montelukast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2016-06-30T06:46:04Z</cp:lastPrinted>
  <dcterms:created xsi:type="dcterms:W3CDTF">2005-07-05T10:19:27Z</dcterms:created>
  <dcterms:modified xsi:type="dcterms:W3CDTF">2016-06-30T08:45:07Z</dcterms:modified>
</cp:coreProperties>
</file>