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/>
  </bookViews>
  <sheets>
    <sheet name="SST" sheetId="5" r:id="rId1"/>
    <sheet name="Uniformity" sheetId="2" r:id="rId2"/>
    <sheet name="Rosuvastatin" sheetId="3" r:id="rId3"/>
    <sheet name="Rosuvastatin 1" sheetId="4" r:id="rId4"/>
  </sheets>
  <definedNames>
    <definedName name="_xlnm.Print_Area" localSheetId="2">Rosuvastatin!$A$1:$G$250</definedName>
    <definedName name="_xlnm.Print_Area" localSheetId="3">'Rosuvastatin 1'!$A$1:$H$125</definedName>
    <definedName name="_xlnm.Print_Area" localSheetId="0">SST!$A$1:$E$61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32" i="5" l="1"/>
  <c r="B31" i="5"/>
  <c r="E30" i="5"/>
  <c r="D30" i="5"/>
  <c r="C30" i="5"/>
  <c r="B30" i="5"/>
  <c r="B21" i="5"/>
  <c r="D100" i="4"/>
  <c r="D47" i="3"/>
  <c r="B31" i="3"/>
  <c r="C120" i="4" l="1"/>
  <c r="B116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I39" i="4"/>
  <c r="B34" i="4"/>
  <c r="D44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F124" i="3" s="1"/>
  <c r="E117" i="3"/>
  <c r="D109" i="3"/>
  <c r="B107" i="3"/>
  <c r="D110" i="3" s="1"/>
  <c r="D111" i="3" s="1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0" i="3"/>
  <c r="B89" i="3"/>
  <c r="B91" i="3" s="1"/>
  <c r="C74" i="3"/>
  <c r="B67" i="3"/>
  <c r="C56" i="3"/>
  <c r="B55" i="3"/>
  <c r="B45" i="3"/>
  <c r="D48" i="3" s="1"/>
  <c r="F42" i="3"/>
  <c r="D42" i="3"/>
  <c r="G41" i="3"/>
  <c r="E41" i="3"/>
  <c r="G40" i="3"/>
  <c r="B34" i="3"/>
  <c r="F44" i="3" s="1"/>
  <c r="B30" i="3"/>
  <c r="D50" i="2"/>
  <c r="C49" i="2"/>
  <c r="B49" i="2"/>
  <c r="C46" i="2"/>
  <c r="D49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49" i="3" l="1"/>
  <c r="F107" i="3"/>
  <c r="F108" i="3" s="1"/>
  <c r="G104" i="3"/>
  <c r="F45" i="3"/>
  <c r="F46" i="3" s="1"/>
  <c r="I92" i="4"/>
  <c r="D112" i="3"/>
  <c r="D113" i="3" s="1"/>
  <c r="G39" i="3"/>
  <c r="D101" i="4"/>
  <c r="D102" i="4" s="1"/>
  <c r="D45" i="4"/>
  <c r="E38" i="4" s="1"/>
  <c r="E41" i="4"/>
  <c r="F98" i="4"/>
  <c r="F99" i="4" s="1"/>
  <c r="G129" i="3"/>
  <c r="F125" i="3"/>
  <c r="C50" i="2"/>
  <c r="D44" i="3"/>
  <c r="D45" i="3" s="1"/>
  <c r="F44" i="4"/>
  <c r="F45" i="4" s="1"/>
  <c r="D106" i="3"/>
  <c r="D107" i="3" s="1"/>
  <c r="D108" i="3" s="1"/>
  <c r="D114" i="3"/>
  <c r="F126" i="3"/>
  <c r="B57" i="4"/>
  <c r="B69" i="4" s="1"/>
  <c r="B57" i="3"/>
  <c r="E104" i="3"/>
  <c r="D97" i="4"/>
  <c r="D98" i="4" s="1"/>
  <c r="D99" i="4" s="1"/>
  <c r="G38" i="3" l="1"/>
  <c r="G42" i="3" s="1"/>
  <c r="G91" i="4"/>
  <c r="D46" i="3"/>
  <c r="E38" i="3"/>
  <c r="E39" i="3"/>
  <c r="E40" i="3"/>
  <c r="E40" i="4"/>
  <c r="E39" i="4"/>
  <c r="G92" i="4"/>
  <c r="D46" i="4"/>
  <c r="E91" i="4"/>
  <c r="E92" i="4"/>
  <c r="G94" i="4"/>
  <c r="G93" i="4"/>
  <c r="G41" i="4"/>
  <c r="F46" i="4"/>
  <c r="G39" i="4"/>
  <c r="G40" i="4"/>
  <c r="G38" i="4"/>
  <c r="E94" i="4"/>
  <c r="E93" i="4"/>
  <c r="E42" i="3" l="1"/>
  <c r="D50" i="3"/>
  <c r="D52" i="3"/>
  <c r="G95" i="4"/>
  <c r="E42" i="4"/>
  <c r="D50" i="4"/>
  <c r="G68" i="4" s="1"/>
  <c r="H68" i="4" s="1"/>
  <c r="G42" i="4"/>
  <c r="D52" i="4"/>
  <c r="E95" i="4"/>
  <c r="D105" i="4"/>
  <c r="D103" i="4"/>
  <c r="D51" i="3" l="1"/>
  <c r="E63" i="3"/>
  <c r="E60" i="3"/>
  <c r="E62" i="3"/>
  <c r="E65" i="3"/>
  <c r="E67" i="3"/>
  <c r="E64" i="3"/>
  <c r="G64" i="3" s="1"/>
  <c r="E61" i="3"/>
  <c r="E66" i="3"/>
  <c r="E59" i="3"/>
  <c r="E68" i="3"/>
  <c r="G60" i="4"/>
  <c r="H60" i="4" s="1"/>
  <c r="G65" i="4"/>
  <c r="H65" i="4" s="1"/>
  <c r="D51" i="4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7" i="3" l="1"/>
  <c r="G63" i="3"/>
  <c r="G61" i="3"/>
  <c r="G62" i="3"/>
  <c r="G68" i="3"/>
  <c r="G60" i="3"/>
  <c r="G59" i="3"/>
  <c r="E70" i="3"/>
  <c r="F64" i="3" s="1"/>
  <c r="E72" i="3"/>
  <c r="G66" i="3"/>
  <c r="G65" i="3"/>
  <c r="G72" i="4"/>
  <c r="G73" i="4" s="1"/>
  <c r="G74" i="4"/>
  <c r="E115" i="4"/>
  <c r="E116" i="4" s="1"/>
  <c r="E117" i="4"/>
  <c r="F108" i="4"/>
  <c r="H74" i="4"/>
  <c r="H72" i="4"/>
  <c r="F61" i="3" l="1"/>
  <c r="F59" i="3"/>
  <c r="F60" i="3"/>
  <c r="F62" i="3"/>
  <c r="F63" i="3"/>
  <c r="F66" i="3"/>
  <c r="F67" i="3"/>
  <c r="F68" i="3"/>
  <c r="F65" i="3"/>
  <c r="E71" i="3"/>
  <c r="C81" i="3"/>
  <c r="G70" i="3"/>
  <c r="G71" i="3" s="1"/>
  <c r="G72" i="3"/>
  <c r="F117" i="4"/>
  <c r="F115" i="4"/>
  <c r="G76" i="4"/>
  <c r="H73" i="4"/>
  <c r="C79" i="3" l="1"/>
  <c r="C82" i="3"/>
  <c r="G74" i="3"/>
  <c r="F72" i="3"/>
  <c r="F70" i="3"/>
  <c r="F71" i="3" s="1"/>
  <c r="G120" i="4"/>
  <c r="F116" i="4"/>
  <c r="C83" i="3" l="1"/>
</calcChain>
</file>

<file path=xl/sharedStrings.xml><?xml version="1.0" encoding="utf-8"?>
<sst xmlns="http://schemas.openxmlformats.org/spreadsheetml/2006/main" count="393" uniqueCount="151">
  <si>
    <t>HPLC System Suitability Report</t>
  </si>
  <si>
    <t>Analysis Data</t>
  </si>
  <si>
    <t>Assay</t>
  </si>
  <si>
    <t>Sample(s)</t>
  </si>
  <si>
    <t>Reference Substance:</t>
  </si>
  <si>
    <t>MYDAWA ROSUVASTATIN 20 MG TABLETS</t>
  </si>
  <si>
    <t>% age Purity:</t>
  </si>
  <si>
    <t>NDQD2016061211</t>
  </si>
  <si>
    <t>Weight (mg):</t>
  </si>
  <si>
    <t>Rosuvastatin calcium 20mg</t>
  </si>
  <si>
    <t>Standard Conc (mg/mL):</t>
  </si>
  <si>
    <t>Each tablet contains Rosuvastatin calcium 20mg</t>
  </si>
  <si>
    <t>2016-06-23 14:51:46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</si>
  <si>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</si>
  <si>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</si>
  <si>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</si>
  <si>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</si>
  <si>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</si>
  <si>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</si>
  <si>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</si>
  <si>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</si>
  <si>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</si>
  <si>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</si>
  <si>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</si>
  <si>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</si>
  <si>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</si>
  <si>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</si>
  <si>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</si>
  <si>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</si>
  <si>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</si>
  <si>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</si>
  <si>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</si>
  <si>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</si>
  <si>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</si>
  <si>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</si>
  <si>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</si>
  <si>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</si>
  <si>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</si>
  <si>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</si>
  <si>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</si>
  <si>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</si>
  <si>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</si>
  <si>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</si>
  <si>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</si>
  <si>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</si>
  <si>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</si>
  <si>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</si>
  <si>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</si>
  <si>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</si>
  <si>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</si>
  <si>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</si>
  <si>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</si>
  <si>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</si>
  <si>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</si>
  <si>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</si>
  <si>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</si>
  <si>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</si>
  <si>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</si>
  <si>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</si>
  <si>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</si>
  <si>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</si>
  <si>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</si>
  <si>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</si>
  <si>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</si>
  <si>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</si>
  <si>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</si>
  <si>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</si>
  <si>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</si>
  <si>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</si>
  <si>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</si>
  <si>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</si>
  <si>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</si>
  <si>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</si>
  <si>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</si>
  <si>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</si>
  <si>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</si>
  <si>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</si>
  <si>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</si>
  <si>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</si>
  <si>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</si>
  <si>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</si>
  <si>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</si>
  <si>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</si>
  <si>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</si>
  <si>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</si>
  <si>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</si>
  <si>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</si>
  <si>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</si>
  <si>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</si>
  <si>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</si>
  <si>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</si>
  <si>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</si>
  <si>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</si>
  <si>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</si>
  <si>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</si>
  <si>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</si>
  <si>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</si>
  <si>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</si>
  <si>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</si>
  <si>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</si>
  <si>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</si>
  <si>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</si>
  <si>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</si>
  <si>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</si>
  <si>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</si>
  <si>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</si>
  <si>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</si>
  <si>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</si>
  <si>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</si>
  <si>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</si>
  <si>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</si>
  <si>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</si>
  <si>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</si>
  <si>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</si>
  <si>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</si>
  <si>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</si>
  <si>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</si>
  <si>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</si>
  <si>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</si>
  <si>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</si>
  <si>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</si>
  <si>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</si>
  <si>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</si>
  <si>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</si>
  <si>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</si>
  <si>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</si>
  <si>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</si>
  <si>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</si>
  <si>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</si>
  <si>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</si>
  <si>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</si>
  <si>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</si>
  <si>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</si>
  <si>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</si>
  <si>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</si>
  <si>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</si>
  <si>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</si>
  <si>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</si>
  <si>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</si>
  <si>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WRS R1-2</t>
  </si>
  <si>
    <t>MYDAWA ROSUVASTATIN 20 mg TABLETS</t>
  </si>
  <si>
    <t>Each tablet contains Rosuvastatin (as calcium) 20 mg</t>
  </si>
  <si>
    <t>ROSUVASTATIN CALCIUM</t>
  </si>
  <si>
    <t>Rosuvastatin (as calcium)</t>
  </si>
  <si>
    <t>Average Tablet Weight (mg):</t>
  </si>
  <si>
    <t>Rosuvastatin Calcium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</si>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</sst>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8" formatCode="0.0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left"/>
      <protection locked="0"/>
    </xf>
    <xf numFmtId="0" fontId="12" fillId="2" borderId="0" xfId="0" applyFont="1" applyFill="1"/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11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0" fillId="2" borderId="32" xfId="0" applyNumberFormat="1" applyFont="1" applyFill="1" applyBorder="1" applyAlignment="1">
      <alignment horizontal="center"/>
    </xf>
    <xf numFmtId="170" fontId="10" fillId="2" borderId="24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30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1" fillId="2" borderId="44" xfId="0" applyFont="1" applyFill="1" applyBorder="1" applyAlignment="1">
      <alignment horizontal="center"/>
    </xf>
    <xf numFmtId="0" fontId="11" fillId="7" borderId="45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 wrapText="1"/>
    </xf>
    <xf numFmtId="0" fontId="11" fillId="7" borderId="25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/>
    </xf>
    <xf numFmtId="2" fontId="10" fillId="2" borderId="27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29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2" fontId="10" fillId="2" borderId="38" xfId="0" applyNumberFormat="1" applyFont="1" applyFill="1" applyBorder="1" applyAlignment="1">
      <alignment horizontal="center"/>
    </xf>
    <xf numFmtId="2" fontId="10" fillId="2" borderId="47" xfId="0" applyNumberFormat="1" applyFont="1" applyFill="1" applyBorder="1" applyAlignment="1">
      <alignment horizontal="center"/>
    </xf>
    <xf numFmtId="2" fontId="10" fillId="2" borderId="48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1" xfId="0" applyFont="1" applyFill="1" applyBorder="1"/>
    <xf numFmtId="0" fontId="10" fillId="2" borderId="23" xfId="0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2" fontId="13" fillId="5" borderId="49" xfId="0" applyNumberFormat="1" applyFont="1" applyFill="1" applyBorder="1" applyAlignment="1">
      <alignment horizontal="center"/>
    </xf>
    <xf numFmtId="10" fontId="11" fillId="6" borderId="49" xfId="0" applyNumberFormat="1" applyFont="1" applyFill="1" applyBorder="1" applyAlignment="1">
      <alignment horizontal="center"/>
    </xf>
    <xf numFmtId="10" fontId="13" fillId="6" borderId="49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11" fillId="5" borderId="50" xfId="0" applyNumberFormat="1" applyFont="1" applyFill="1" applyBorder="1" applyAlignment="1">
      <alignment horizontal="center"/>
    </xf>
    <xf numFmtId="2" fontId="13" fillId="5" borderId="50" xfId="0" applyNumberFormat="1" applyFont="1" applyFill="1" applyBorder="1" applyAlignment="1">
      <alignment horizontal="center"/>
    </xf>
    <xf numFmtId="0" fontId="10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71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 applyProtection="1">
      <alignment horizontal="center"/>
      <protection locked="0"/>
    </xf>
    <xf numFmtId="1" fontId="11" fillId="6" borderId="1" xfId="0" applyNumberFormat="1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7" fillId="2" borderId="0" xfId="0" applyFont="1" applyFill="1"/>
    <xf numFmtId="0" fontId="13" fillId="3" borderId="25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/>
      <protection locked="0"/>
    </xf>
    <xf numFmtId="170" fontId="10" fillId="2" borderId="4" xfId="0" applyNumberFormat="1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70" fontId="10" fillId="2" borderId="3" xfId="0" applyNumberFormat="1" applyFont="1" applyFill="1" applyBorder="1" applyAlignment="1">
      <alignment horizont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0" fontId="10" fillId="2" borderId="5" xfId="0" applyNumberFormat="1" applyFont="1" applyFill="1" applyBorder="1" applyAlignment="1">
      <alignment horizontal="center"/>
    </xf>
    <xf numFmtId="170" fontId="13" fillId="3" borderId="7" xfId="0" applyNumberFormat="1" applyFont="1" applyFill="1" applyBorder="1" applyAlignment="1" applyProtection="1">
      <alignment horizontal="center"/>
      <protection locked="0"/>
    </xf>
    <xf numFmtId="170" fontId="11" fillId="6" borderId="53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3" fillId="3" borderId="54" xfId="0" applyFont="1" applyFill="1" applyBorder="1" applyAlignment="1" applyProtection="1">
      <alignment horizontal="center"/>
      <protection locked="0"/>
    </xf>
    <xf numFmtId="2" fontId="10" fillId="6" borderId="49" xfId="0" applyNumberFormat="1" applyFont="1" applyFill="1" applyBorder="1" applyAlignment="1">
      <alignment horizontal="center"/>
    </xf>
    <xf numFmtId="2" fontId="10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26" xfId="0" applyFont="1" applyFill="1" applyBorder="1" applyAlignment="1">
      <alignment horizontal="right"/>
    </xf>
    <xf numFmtId="166" fontId="10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5" xfId="0" applyFont="1" applyFill="1" applyBorder="1" applyAlignment="1">
      <alignment horizontal="right"/>
    </xf>
    <xf numFmtId="2" fontId="10" fillId="7" borderId="28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1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1" fillId="7" borderId="17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46" xfId="0" applyFont="1" applyFill="1" applyBorder="1"/>
    <xf numFmtId="0" fontId="11" fillId="2" borderId="25" xfId="0" applyFont="1" applyFill="1" applyBorder="1" applyAlignment="1">
      <alignment horizontal="center" wrapText="1"/>
    </xf>
    <xf numFmtId="170" fontId="13" fillId="3" borderId="32" xfId="0" applyNumberFormat="1" applyFont="1" applyFill="1" applyBorder="1" applyAlignment="1" applyProtection="1">
      <alignment horizontal="center"/>
      <protection locked="0"/>
    </xf>
    <xf numFmtId="2" fontId="10" fillId="2" borderId="27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0" fillId="2" borderId="35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3" fillId="7" borderId="49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2" borderId="10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right"/>
    </xf>
    <xf numFmtId="0" fontId="12" fillId="3" borderId="4" xfId="0" applyFont="1" applyFill="1" applyBorder="1" applyAlignment="1" applyProtection="1">
      <alignment horizontal="center" wrapText="1"/>
      <protection locked="0"/>
    </xf>
    <xf numFmtId="0" fontId="12" fillId="3" borderId="3" xfId="0" applyFont="1" applyFill="1" applyBorder="1" applyAlignment="1" applyProtection="1">
      <alignment horizontal="center" wrapText="1"/>
      <protection locked="0"/>
    </xf>
    <xf numFmtId="0" fontId="12" fillId="3" borderId="47" xfId="0" applyFont="1" applyFill="1" applyBorder="1" applyAlignment="1" applyProtection="1">
      <alignment horizontal="center" wrapText="1"/>
      <protection locked="0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72" fontId="12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4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3" fillId="3" borderId="2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3" fillId="3" borderId="3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0" fillId="2" borderId="31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0" fillId="2" borderId="32" xfId="0" applyNumberFormat="1" applyFont="1" applyFill="1" applyBorder="1" applyAlignment="1">
      <alignment horizontal="center"/>
    </xf>
    <xf numFmtId="170" fontId="10" fillId="2" borderId="24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31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1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30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3" fontId="13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 vertical="center"/>
    </xf>
    <xf numFmtId="10" fontId="10" fillId="2" borderId="31" xfId="0" applyNumberFormat="1" applyFont="1" applyFill="1" applyBorder="1" applyAlignment="1">
      <alignment horizontal="center" vertical="center"/>
    </xf>
    <xf numFmtId="10" fontId="10" fillId="2" borderId="48" xfId="0" applyNumberFormat="1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/>
    </xf>
    <xf numFmtId="2" fontId="12" fillId="2" borderId="48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60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3" fillId="7" borderId="6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51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62" xfId="0" applyNumberFormat="1" applyFont="1" applyFill="1" applyBorder="1" applyAlignment="1">
      <alignment horizontal="center"/>
    </xf>
    <xf numFmtId="1" fontId="11" fillId="6" borderId="53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63" xfId="0" applyFont="1" applyFill="1" applyBorder="1" applyAlignment="1">
      <alignment horizontal="right"/>
    </xf>
    <xf numFmtId="0" fontId="13" fillId="3" borderId="54" xfId="0" applyFont="1" applyFill="1" applyBorder="1" applyAlignment="1" applyProtection="1">
      <alignment horizontal="center"/>
      <protection locked="0"/>
    </xf>
    <xf numFmtId="0" fontId="10" fillId="2" borderId="26" xfId="0" applyFont="1" applyFill="1" applyBorder="1" applyAlignment="1">
      <alignment horizontal="right"/>
    </xf>
    <xf numFmtId="2" fontId="10" fillId="6" borderId="4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49" xfId="0" applyNumberFormat="1" applyFont="1" applyFill="1" applyBorder="1" applyAlignment="1">
      <alignment horizontal="center"/>
    </xf>
    <xf numFmtId="166" fontId="10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5" xfId="0" applyFont="1" applyFill="1" applyBorder="1" applyAlignment="1">
      <alignment horizontal="right"/>
    </xf>
    <xf numFmtId="2" fontId="10" fillId="7" borderId="2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3" fillId="3" borderId="32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3" fillId="7" borderId="49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3" fillId="6" borderId="49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3" fillId="6" borderId="64" xfId="0" applyNumberFormat="1" applyFont="1" applyFill="1" applyBorder="1" applyAlignment="1">
      <alignment horizontal="center"/>
    </xf>
    <xf numFmtId="166" fontId="10" fillId="2" borderId="27" xfId="0" applyNumberFormat="1" applyFont="1" applyFill="1" applyBorder="1" applyAlignment="1">
      <alignment horizontal="center"/>
    </xf>
    <xf numFmtId="166" fontId="10" fillId="2" borderId="32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49" xfId="0" applyNumberFormat="1" applyFont="1" applyFill="1" applyBorder="1" applyAlignment="1">
      <alignment horizontal="center"/>
    </xf>
    <xf numFmtId="0" fontId="12" fillId="2" borderId="0" xfId="0" applyFont="1" applyFill="1"/>
    <xf numFmtId="0" fontId="4" fillId="2" borderId="0" xfId="0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1" fillId="2" borderId="51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1" fillId="2" borderId="4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6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10" fontId="20" fillId="2" borderId="14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8" xfId="0" applyFont="1" applyFill="1" applyBorder="1" applyAlignment="1">
      <alignment horizontal="center" vertical="center" wrapText="1"/>
    </xf>
    <xf numFmtId="0" fontId="2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protection locked="0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0" fillId="2" borderId="0" xfId="1" applyFont="1" applyFill="1" applyAlignment="1">
      <alignment horizontal="center"/>
    </xf>
    <xf numFmtId="0" fontId="31" fillId="2" borderId="0" xfId="1" applyFont="1" applyFill="1"/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178" fontId="32" fillId="3" borderId="3" xfId="1" applyNumberFormat="1" applyFont="1" applyFill="1" applyBorder="1" applyAlignment="1" applyProtection="1">
      <alignment horizontal="center"/>
      <protection locked="0"/>
    </xf>
    <xf numFmtId="178" fontId="32" fillId="3" borderId="4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178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33" fillId="3" borderId="27" xfId="1" applyFont="1" applyFill="1" applyBorder="1" applyAlignment="1" applyProtection="1">
      <alignment horizontal="center" vertical="center"/>
      <protection locked="0"/>
    </xf>
    <xf numFmtId="0" fontId="33" fillId="3" borderId="52" xfId="1" applyFont="1" applyFill="1" applyBorder="1" applyAlignment="1" applyProtection="1">
      <alignment horizontal="center" vertical="center"/>
      <protection locked="0"/>
    </xf>
    <xf numFmtId="0" fontId="33" fillId="3" borderId="65" xfId="1" applyFont="1" applyFill="1" applyBorder="1" applyAlignment="1" applyProtection="1">
      <alignment horizontal="center" vertical="center"/>
      <protection locked="0"/>
    </xf>
    <xf numFmtId="0" fontId="33" fillId="3" borderId="32" xfId="1" applyFont="1" applyFill="1" applyBorder="1" applyAlignment="1" applyProtection="1">
      <alignment horizontal="center" vertical="center"/>
      <protection locked="0"/>
    </xf>
    <xf numFmtId="0" fontId="33" fillId="3" borderId="0" xfId="1" applyFont="1" applyFill="1" applyBorder="1" applyAlignment="1" applyProtection="1">
      <alignment horizontal="center" vertical="center"/>
      <protection locked="0"/>
    </xf>
    <xf numFmtId="0" fontId="33" fillId="3" borderId="6" xfId="1" applyFont="1" applyFill="1" applyBorder="1" applyAlignment="1" applyProtection="1">
      <alignment horizontal="center" vertical="center"/>
      <protection locked="0"/>
    </xf>
    <xf numFmtId="0" fontId="33" fillId="3" borderId="35" xfId="1" applyFont="1" applyFill="1" applyBorder="1" applyAlignment="1" applyProtection="1">
      <alignment horizontal="center" vertical="center"/>
      <protection locked="0"/>
    </xf>
    <xf numFmtId="0" fontId="33" fillId="3" borderId="7" xfId="1" applyFont="1" applyFill="1" applyBorder="1" applyAlignment="1" applyProtection="1">
      <alignment horizontal="center" vertical="center"/>
      <protection locked="0"/>
    </xf>
    <xf numFmtId="0" fontId="33" fillId="3" borderId="8" xfId="1" applyFont="1" applyFill="1" applyBorder="1" applyAlignment="1" applyProtection="1">
      <alignment horizontal="center" vertical="center"/>
      <protection locked="0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4" fillId="2" borderId="0" xfId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27" fillId="2" borderId="7" xfId="1" applyFont="1" applyFill="1" applyBorder="1"/>
    <xf numFmtId="0" fontId="26" fillId="2" borderId="11" xfId="1" applyFont="1" applyFill="1" applyBorder="1"/>
    <xf numFmtId="0" fontId="27" fillId="2" borderId="11" xfId="1" applyFont="1" applyFill="1" applyBorder="1"/>
  </cellXfs>
  <cellStyles count="2">
    <cellStyle name="Normal" xfId="0" builtinId="0"/>
    <cellStyle name="Normal 2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view="pageBreakPreview" topLeftCell="A22" zoomScale="60" zoomScaleNormal="100" workbookViewId="0">
      <selection activeCell="K33" sqref="K33"/>
    </sheetView>
  </sheetViews>
  <sheetFormatPr defaultRowHeight="13.8" x14ac:dyDescent="0.3"/>
  <cols>
    <col min="1" max="1" width="27.5546875" style="469" customWidth="1"/>
    <col min="2" max="2" width="20.44140625" style="469" customWidth="1"/>
    <col min="3" max="3" width="31.88671875" style="469" customWidth="1"/>
    <col min="4" max="4" width="25.88671875" style="469" customWidth="1"/>
    <col min="5" max="5" width="25.6640625" style="469" customWidth="1"/>
    <col min="6" max="6" width="23.109375" style="469" customWidth="1"/>
    <col min="7" max="7" width="28.44140625" style="469" customWidth="1"/>
    <col min="8" max="8" width="21.5546875" style="469" customWidth="1"/>
    <col min="9" max="9" width="9.109375" style="469" customWidth="1"/>
    <col min="10" max="16384" width="8.88671875" style="515"/>
  </cols>
  <sheetData>
    <row r="14" spans="1:6" ht="15" customHeight="1" x14ac:dyDescent="0.3">
      <c r="A14" s="468"/>
      <c r="C14" s="470"/>
      <c r="F14" s="470"/>
    </row>
    <row r="15" spans="1:6" ht="18.75" customHeight="1" x14ac:dyDescent="0.35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140</v>
      </c>
      <c r="D17" s="475"/>
      <c r="E17" s="476"/>
    </row>
    <row r="18" spans="1:5" ht="16.5" customHeight="1" x14ac:dyDescent="0.3">
      <c r="A18" s="477" t="s">
        <v>4</v>
      </c>
      <c r="B18" s="474" t="s">
        <v>145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99.29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26.34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B20/50*5/50</f>
        <v>5.2680000000000005E-2</v>
      </c>
      <c r="C21" s="476"/>
      <c r="D21" s="476"/>
      <c r="E21" s="476"/>
    </row>
    <row r="22" spans="1:5" ht="15.75" customHeight="1" x14ac:dyDescent="0.3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36441372</v>
      </c>
      <c r="C24" s="483">
        <v>11121.7</v>
      </c>
      <c r="D24" s="484">
        <v>1.1000000000000001</v>
      </c>
      <c r="E24" s="485">
        <v>8.1999999999999993</v>
      </c>
    </row>
    <row r="25" spans="1:5" ht="16.5" customHeight="1" x14ac:dyDescent="0.3">
      <c r="A25" s="482">
        <v>2</v>
      </c>
      <c r="B25" s="483">
        <v>36974926</v>
      </c>
      <c r="C25" s="483">
        <v>11000.5</v>
      </c>
      <c r="D25" s="484">
        <v>1</v>
      </c>
      <c r="E25" s="484">
        <v>8.1999999999999993</v>
      </c>
    </row>
    <row r="26" spans="1:5" ht="16.5" customHeight="1" x14ac:dyDescent="0.3">
      <c r="A26" s="482">
        <v>3</v>
      </c>
      <c r="B26" s="483">
        <v>37053207</v>
      </c>
      <c r="C26" s="483">
        <v>11067.1</v>
      </c>
      <c r="D26" s="484">
        <v>1</v>
      </c>
      <c r="E26" s="484">
        <v>8.1999999999999993</v>
      </c>
    </row>
    <row r="27" spans="1:5" ht="16.5" customHeight="1" x14ac:dyDescent="0.3">
      <c r="A27" s="482">
        <v>4</v>
      </c>
      <c r="B27" s="483">
        <v>37042452</v>
      </c>
      <c r="C27" s="483">
        <v>11071.9</v>
      </c>
      <c r="D27" s="484">
        <v>1.1000000000000001</v>
      </c>
      <c r="E27" s="484">
        <v>8.1999999999999993</v>
      </c>
    </row>
    <row r="28" spans="1:5" ht="16.5" customHeight="1" x14ac:dyDescent="0.3">
      <c r="A28" s="482">
        <v>5</v>
      </c>
      <c r="B28" s="483">
        <v>36985926</v>
      </c>
      <c r="C28" s="483">
        <v>11106.3</v>
      </c>
      <c r="D28" s="484">
        <v>1</v>
      </c>
      <c r="E28" s="484">
        <v>8.1999999999999993</v>
      </c>
    </row>
    <row r="29" spans="1:5" ht="16.5" customHeight="1" x14ac:dyDescent="0.3">
      <c r="A29" s="482">
        <v>6</v>
      </c>
      <c r="B29" s="486">
        <v>36903305</v>
      </c>
      <c r="C29" s="486">
        <v>11132.1</v>
      </c>
      <c r="D29" s="487">
        <v>1.1000000000000001</v>
      </c>
      <c r="E29" s="487">
        <v>8.1999999999999993</v>
      </c>
    </row>
    <row r="30" spans="1:5" ht="16.5" customHeight="1" x14ac:dyDescent="0.3">
      <c r="A30" s="488" t="s">
        <v>18</v>
      </c>
      <c r="B30" s="489">
        <f>AVERAGE(B24:B29)</f>
        <v>36900198</v>
      </c>
      <c r="C30" s="490">
        <f>AVERAGE(C24:C29)</f>
        <v>11083.266666666668</v>
      </c>
      <c r="D30" s="491">
        <f>AVERAGE(D24:D29)</f>
        <v>1.05</v>
      </c>
      <c r="E30" s="491">
        <f>AVERAGE(E24:E29)</f>
        <v>8.2000000000000011</v>
      </c>
    </row>
    <row r="31" spans="1:5" ht="16.5" customHeight="1" x14ac:dyDescent="0.3">
      <c r="A31" s="492" t="s">
        <v>19</v>
      </c>
      <c r="B31" s="493">
        <f>(STDEV(B24:B29)/B30)</f>
        <v>6.2637351077609923E-3</v>
      </c>
      <c r="C31" s="494"/>
      <c r="D31" s="494"/>
      <c r="E31" s="495"/>
    </row>
    <row r="32" spans="1:5" s="469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69" customFormat="1" ht="15.75" customHeight="1" x14ac:dyDescent="0.3">
      <c r="A33" s="476"/>
      <c r="B33" s="476"/>
      <c r="C33" s="476"/>
      <c r="D33" s="476"/>
      <c r="E33" s="476"/>
    </row>
    <row r="34" spans="1:5" s="469" customFormat="1" ht="16.5" customHeight="1" x14ac:dyDescent="0.3">
      <c r="A34" s="477" t="s">
        <v>21</v>
      </c>
      <c r="B34" s="501" t="s">
        <v>146</v>
      </c>
      <c r="C34" s="502"/>
      <c r="D34" s="502"/>
      <c r="E34" s="502"/>
    </row>
    <row r="35" spans="1:5" ht="16.5" customHeight="1" x14ac:dyDescent="0.3">
      <c r="A35" s="477"/>
      <c r="B35" s="501" t="s">
        <v>147</v>
      </c>
      <c r="C35" s="502"/>
      <c r="D35" s="502"/>
      <c r="E35" s="502"/>
    </row>
    <row r="36" spans="1:5" ht="16.5" customHeight="1" x14ac:dyDescent="0.3">
      <c r="A36" s="477"/>
      <c r="B36" s="501" t="s">
        <v>148</v>
      </c>
      <c r="C36" s="502"/>
      <c r="D36" s="502"/>
      <c r="E36" s="502"/>
    </row>
    <row r="37" spans="1:5" ht="15.75" customHeight="1" x14ac:dyDescent="0.3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149</v>
      </c>
    </row>
    <row r="39" spans="1:5" ht="16.5" customHeight="1" x14ac:dyDescent="0.3">
      <c r="A39" s="477" t="s">
        <v>4</v>
      </c>
      <c r="B39" s="474"/>
      <c r="C39" s="476"/>
      <c r="D39" s="476"/>
      <c r="E39" s="476"/>
    </row>
    <row r="40" spans="1:5" ht="16.5" customHeight="1" x14ac:dyDescent="0.3">
      <c r="A40" s="477" t="s">
        <v>6</v>
      </c>
      <c r="B40" s="478"/>
      <c r="C40" s="476"/>
      <c r="D40" s="476"/>
      <c r="E40" s="476"/>
    </row>
    <row r="41" spans="1:5" ht="16.5" customHeight="1" x14ac:dyDescent="0.3">
      <c r="A41" s="474" t="s">
        <v>8</v>
      </c>
      <c r="B41" s="478"/>
      <c r="C41" s="476"/>
      <c r="D41" s="476"/>
      <c r="E41" s="476"/>
    </row>
    <row r="42" spans="1:5" ht="16.5" customHeight="1" x14ac:dyDescent="0.3">
      <c r="A42" s="474" t="s">
        <v>10</v>
      </c>
      <c r="B42" s="479"/>
      <c r="C42" s="476"/>
      <c r="D42" s="476"/>
      <c r="E42" s="476"/>
    </row>
    <row r="43" spans="1:5" ht="15.75" customHeight="1" x14ac:dyDescent="0.3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503" t="s">
        <v>150</v>
      </c>
      <c r="C45" s="504"/>
      <c r="D45" s="504"/>
      <c r="E45" s="505"/>
    </row>
    <row r="46" spans="1:5" ht="16.5" customHeight="1" x14ac:dyDescent="0.3">
      <c r="A46" s="482">
        <v>2</v>
      </c>
      <c r="B46" s="506"/>
      <c r="C46" s="507"/>
      <c r="D46" s="507"/>
      <c r="E46" s="508"/>
    </row>
    <row r="47" spans="1:5" ht="16.5" customHeight="1" x14ac:dyDescent="0.3">
      <c r="A47" s="482">
        <v>3</v>
      </c>
      <c r="B47" s="506"/>
      <c r="C47" s="507"/>
      <c r="D47" s="507"/>
      <c r="E47" s="508"/>
    </row>
    <row r="48" spans="1:5" ht="16.5" customHeight="1" x14ac:dyDescent="0.3">
      <c r="A48" s="482">
        <v>4</v>
      </c>
      <c r="B48" s="506"/>
      <c r="C48" s="507"/>
      <c r="D48" s="507"/>
      <c r="E48" s="508"/>
    </row>
    <row r="49" spans="1:7" ht="16.5" customHeight="1" x14ac:dyDescent="0.3">
      <c r="A49" s="482">
        <v>5</v>
      </c>
      <c r="B49" s="506"/>
      <c r="C49" s="507"/>
      <c r="D49" s="507"/>
      <c r="E49" s="508"/>
    </row>
    <row r="50" spans="1:7" ht="16.5" customHeight="1" x14ac:dyDescent="0.3">
      <c r="A50" s="482">
        <v>6</v>
      </c>
      <c r="B50" s="509"/>
      <c r="C50" s="510"/>
      <c r="D50" s="510"/>
      <c r="E50" s="511"/>
    </row>
    <row r="51" spans="1:7" ht="16.5" customHeight="1" x14ac:dyDescent="0.3">
      <c r="A51" s="488" t="s">
        <v>18</v>
      </c>
      <c r="B51" s="489"/>
      <c r="C51" s="490"/>
      <c r="D51" s="491"/>
      <c r="E51" s="491"/>
    </row>
    <row r="52" spans="1:7" ht="16.5" customHeight="1" x14ac:dyDescent="0.3">
      <c r="A52" s="492" t="s">
        <v>19</v>
      </c>
      <c r="B52" s="493"/>
      <c r="C52" s="494"/>
      <c r="D52" s="494"/>
      <c r="E52" s="495"/>
    </row>
    <row r="53" spans="1:7" s="469" customFormat="1" ht="16.5" customHeight="1" x14ac:dyDescent="0.3">
      <c r="A53" s="496" t="s">
        <v>20</v>
      </c>
      <c r="B53" s="497"/>
      <c r="C53" s="498"/>
      <c r="D53" s="499"/>
      <c r="E53" s="500"/>
    </row>
    <row r="54" spans="1:7" s="469" customFormat="1" ht="15.75" customHeight="1" x14ac:dyDescent="0.3">
      <c r="A54" s="476"/>
      <c r="B54" s="476"/>
      <c r="C54" s="476"/>
      <c r="D54" s="476"/>
      <c r="E54" s="476"/>
    </row>
    <row r="55" spans="1:7" s="469" customFormat="1" ht="16.5" customHeight="1" x14ac:dyDescent="0.3">
      <c r="A55" s="477" t="s">
        <v>21</v>
      </c>
      <c r="B55" s="501" t="s">
        <v>146</v>
      </c>
      <c r="C55" s="502"/>
      <c r="D55" s="502"/>
      <c r="E55" s="502"/>
    </row>
    <row r="56" spans="1:7" ht="16.5" customHeight="1" x14ac:dyDescent="0.3">
      <c r="A56" s="477"/>
      <c r="B56" s="501" t="s">
        <v>147</v>
      </c>
      <c r="C56" s="502"/>
      <c r="D56" s="502"/>
      <c r="E56" s="502"/>
    </row>
    <row r="57" spans="1:7" ht="16.5" customHeight="1" x14ac:dyDescent="0.3">
      <c r="A57" s="477"/>
      <c r="B57" s="501" t="s">
        <v>148</v>
      </c>
      <c r="C57" s="502"/>
      <c r="D57" s="502"/>
      <c r="E57" s="502"/>
    </row>
    <row r="58" spans="1:7" ht="14.25" customHeight="1" thickBot="1" x14ac:dyDescent="0.35">
      <c r="A58" s="512"/>
      <c r="B58" s="513"/>
      <c r="D58" s="514"/>
      <c r="F58" s="515"/>
      <c r="G58" s="515"/>
    </row>
    <row r="59" spans="1:7" ht="15" customHeight="1" x14ac:dyDescent="0.3">
      <c r="B59" s="516" t="s">
        <v>22</v>
      </c>
      <c r="C59" s="516"/>
      <c r="D59" s="517" t="s">
        <v>23</v>
      </c>
      <c r="E59" s="517" t="s">
        <v>24</v>
      </c>
      <c r="F59" s="515"/>
    </row>
    <row r="60" spans="1:7" ht="15" customHeight="1" x14ac:dyDescent="0.3">
      <c r="A60" s="518" t="s">
        <v>25</v>
      </c>
      <c r="B60" s="519"/>
      <c r="C60" s="519"/>
      <c r="D60" s="519"/>
      <c r="E60" s="519"/>
    </row>
    <row r="61" spans="1:7" ht="27.6" customHeight="1" x14ac:dyDescent="0.3">
      <c r="A61" s="518" t="s">
        <v>26</v>
      </c>
      <c r="B61" s="520"/>
      <c r="C61" s="520"/>
      <c r="D61" s="520"/>
      <c r="E61" s="52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45:E50"/>
    <mergeCell ref="B59:C59"/>
  </mergeCells>
  <pageMargins left="0.7" right="0.7" top="0.75" bottom="0.75" header="0.3" footer="0.3"/>
  <pageSetup scale="70" orientation="portrait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20" t="s">
        <v>27</v>
      </c>
      <c r="B11" s="421"/>
      <c r="C11" s="421"/>
      <c r="D11" s="421"/>
      <c r="E11" s="421"/>
      <c r="F11" s="422"/>
      <c r="G11" s="43"/>
    </row>
    <row r="12" spans="1:7" ht="16.5" customHeight="1" x14ac:dyDescent="0.3">
      <c r="A12" s="419" t="s">
        <v>28</v>
      </c>
      <c r="B12" s="419"/>
      <c r="C12" s="419"/>
      <c r="D12" s="419"/>
      <c r="E12" s="419"/>
      <c r="F12" s="419"/>
      <c r="G12" s="42"/>
    </row>
    <row r="14" spans="1:7" ht="16.5" customHeight="1" x14ac:dyDescent="0.3">
      <c r="A14" s="424" t="s">
        <v>29</v>
      </c>
      <c r="B14" s="424"/>
      <c r="C14" s="12" t="s">
        <v>5</v>
      </c>
    </row>
    <row r="15" spans="1:7" ht="16.5" customHeight="1" x14ac:dyDescent="0.3">
      <c r="A15" s="424" t="s">
        <v>30</v>
      </c>
      <c r="B15" s="424"/>
      <c r="C15" s="12" t="s">
        <v>7</v>
      </c>
    </row>
    <row r="16" spans="1:7" ht="16.5" customHeight="1" x14ac:dyDescent="0.3">
      <c r="A16" s="424" t="s">
        <v>31</v>
      </c>
      <c r="B16" s="424"/>
      <c r="C16" s="12" t="s">
        <v>9</v>
      </c>
    </row>
    <row r="17" spans="1:5" ht="16.5" customHeight="1" x14ac:dyDescent="0.3">
      <c r="A17" s="424" t="s">
        <v>32</v>
      </c>
      <c r="B17" s="424"/>
      <c r="C17" s="12" t="s">
        <v>11</v>
      </c>
    </row>
    <row r="18" spans="1:5" ht="16.5" customHeight="1" x14ac:dyDescent="0.3">
      <c r="A18" s="424" t="s">
        <v>33</v>
      </c>
      <c r="B18" s="424"/>
      <c r="C18" s="49" t="s">
        <v>12</v>
      </c>
    </row>
    <row r="19" spans="1:5" ht="16.5" customHeight="1" x14ac:dyDescent="0.3">
      <c r="A19" s="424" t="s">
        <v>34</v>
      </c>
      <c r="B19" s="42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9" t="s">
        <v>1</v>
      </c>
      <c r="B21" s="419"/>
      <c r="C21" s="11" t="s">
        <v>35</v>
      </c>
      <c r="D21" s="18"/>
    </row>
    <row r="22" spans="1:5" ht="15.75" customHeight="1" x14ac:dyDescent="0.3">
      <c r="A22" s="423"/>
      <c r="B22" s="423"/>
      <c r="C22" s="9"/>
      <c r="D22" s="423"/>
      <c r="E22" s="423"/>
    </row>
    <row r="23" spans="1:5" ht="33.75" customHeight="1" x14ac:dyDescent="0.3">
      <c r="C23" s="38" t="s">
        <v>36</v>
      </c>
      <c r="D23" s="37" t="s">
        <v>37</v>
      </c>
      <c r="E23" s="4"/>
    </row>
    <row r="24" spans="1:5" ht="15.75" customHeight="1" x14ac:dyDescent="0.3">
      <c r="C24" s="47">
        <v>294.88</v>
      </c>
      <c r="D24" s="39">
        <f t="shared" ref="D24:D43" si="0">(C24-$C$46)/$C$46</f>
        <v>-8.4901060842957499E-3</v>
      </c>
      <c r="E24" s="5"/>
    </row>
    <row r="25" spans="1:5" ht="15.75" customHeight="1" x14ac:dyDescent="0.3">
      <c r="C25" s="47">
        <v>300.48</v>
      </c>
      <c r="D25" s="40">
        <f t="shared" si="0"/>
        <v>1.0339436122459427E-2</v>
      </c>
      <c r="E25" s="5"/>
    </row>
    <row r="26" spans="1:5" ht="15.75" customHeight="1" x14ac:dyDescent="0.3">
      <c r="C26" s="47">
        <v>294.68</v>
      </c>
      <c r="D26" s="40">
        <f t="shared" si="0"/>
        <v>-9.1625897345369647E-3</v>
      </c>
      <c r="E26" s="5"/>
    </row>
    <row r="27" spans="1:5" ht="15.75" customHeight="1" x14ac:dyDescent="0.3">
      <c r="C27" s="47">
        <v>302.06</v>
      </c>
      <c r="D27" s="40">
        <f t="shared" si="0"/>
        <v>1.5652056959365276E-2</v>
      </c>
      <c r="E27" s="5"/>
    </row>
    <row r="28" spans="1:5" ht="15.75" customHeight="1" x14ac:dyDescent="0.3">
      <c r="C28" s="47">
        <v>295.63</v>
      </c>
      <c r="D28" s="40">
        <f t="shared" si="0"/>
        <v>-5.9682923958910492E-3</v>
      </c>
      <c r="E28" s="5"/>
    </row>
    <row r="29" spans="1:5" ht="15.75" customHeight="1" x14ac:dyDescent="0.3">
      <c r="C29" s="47">
        <v>297.05</v>
      </c>
      <c r="D29" s="40">
        <f t="shared" si="0"/>
        <v>-1.1936584791780952E-3</v>
      </c>
      <c r="E29" s="5"/>
    </row>
    <row r="30" spans="1:5" ht="15.75" customHeight="1" x14ac:dyDescent="0.3">
      <c r="C30" s="47">
        <v>300.58</v>
      </c>
      <c r="D30" s="40">
        <f t="shared" si="0"/>
        <v>1.0675677947579938E-2</v>
      </c>
      <c r="E30" s="5"/>
    </row>
    <row r="31" spans="1:5" ht="15.75" customHeight="1" x14ac:dyDescent="0.3">
      <c r="C31" s="47">
        <v>296.33</v>
      </c>
      <c r="D31" s="40">
        <f t="shared" si="0"/>
        <v>-3.6145996200466998E-3</v>
      </c>
      <c r="E31" s="5"/>
    </row>
    <row r="32" spans="1:5" ht="15.75" customHeight="1" x14ac:dyDescent="0.3">
      <c r="C32" s="47">
        <v>294.86</v>
      </c>
      <c r="D32" s="40">
        <f t="shared" si="0"/>
        <v>-8.5573544493198136E-3</v>
      </c>
      <c r="E32" s="5"/>
    </row>
    <row r="33" spans="1:7" ht="15.75" customHeight="1" x14ac:dyDescent="0.3">
      <c r="C33" s="47">
        <v>296.33999999999997</v>
      </c>
      <c r="D33" s="40">
        <f t="shared" si="0"/>
        <v>-3.5809754375346675E-3</v>
      </c>
      <c r="E33" s="5"/>
    </row>
    <row r="34" spans="1:7" ht="15.75" customHeight="1" x14ac:dyDescent="0.3">
      <c r="C34" s="47">
        <v>299.26</v>
      </c>
      <c r="D34" s="40">
        <f t="shared" si="0"/>
        <v>6.2372858559876882E-3</v>
      </c>
      <c r="E34" s="5"/>
    </row>
    <row r="35" spans="1:7" ht="15.75" customHeight="1" x14ac:dyDescent="0.3">
      <c r="C35" s="47">
        <v>292.45999999999998</v>
      </c>
      <c r="D35" s="40">
        <f t="shared" si="0"/>
        <v>-1.6627158252214971E-2</v>
      </c>
      <c r="E35" s="5"/>
    </row>
    <row r="36" spans="1:7" ht="15.75" customHeight="1" x14ac:dyDescent="0.3">
      <c r="C36" s="47">
        <v>297.95999999999998</v>
      </c>
      <c r="D36" s="40">
        <f t="shared" si="0"/>
        <v>1.8661421294195017E-3</v>
      </c>
      <c r="E36" s="5"/>
    </row>
    <row r="37" spans="1:7" ht="15.75" customHeight="1" x14ac:dyDescent="0.3">
      <c r="C37" s="47">
        <v>300.58999999999997</v>
      </c>
      <c r="D37" s="40">
        <f t="shared" si="0"/>
        <v>1.0709302130091971E-2</v>
      </c>
      <c r="E37" s="5"/>
    </row>
    <row r="38" spans="1:7" ht="15.75" customHeight="1" x14ac:dyDescent="0.3">
      <c r="C38" s="47">
        <v>296.83</v>
      </c>
      <c r="D38" s="40">
        <f t="shared" si="0"/>
        <v>-1.9333904944435658E-3</v>
      </c>
      <c r="E38" s="5"/>
    </row>
    <row r="39" spans="1:7" ht="15.75" customHeight="1" x14ac:dyDescent="0.3">
      <c r="C39" s="47">
        <v>296.64999999999998</v>
      </c>
      <c r="D39" s="40">
        <f t="shared" si="0"/>
        <v>-2.5386257796607171E-3</v>
      </c>
      <c r="E39" s="5"/>
    </row>
    <row r="40" spans="1:7" ht="15.75" customHeight="1" x14ac:dyDescent="0.3">
      <c r="C40" s="47">
        <v>301.2</v>
      </c>
      <c r="D40" s="40">
        <f t="shared" si="0"/>
        <v>1.276037726332784E-2</v>
      </c>
      <c r="E40" s="5"/>
    </row>
    <row r="41" spans="1:7" ht="15.75" customHeight="1" x14ac:dyDescent="0.3">
      <c r="C41" s="47">
        <v>292.39999999999998</v>
      </c>
      <c r="D41" s="40">
        <f t="shared" si="0"/>
        <v>-1.6828903347287354E-2</v>
      </c>
      <c r="E41" s="5"/>
    </row>
    <row r="42" spans="1:7" ht="15.75" customHeight="1" x14ac:dyDescent="0.3">
      <c r="C42" s="47">
        <v>299.89999999999998</v>
      </c>
      <c r="D42" s="40">
        <f t="shared" si="0"/>
        <v>8.3892335367596535E-3</v>
      </c>
      <c r="E42" s="5"/>
    </row>
    <row r="43" spans="1:7" ht="16.5" customHeight="1" x14ac:dyDescent="0.3">
      <c r="C43" s="48">
        <v>297.95999999999998</v>
      </c>
      <c r="D43" s="41">
        <f t="shared" si="0"/>
        <v>1.8661421294195017E-3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38</v>
      </c>
      <c r="C45" s="35">
        <f>SUM(C24:C44)</f>
        <v>5948.0999999999995</v>
      </c>
      <c r="D45" s="30"/>
      <c r="E45" s="6"/>
    </row>
    <row r="46" spans="1:7" ht="17.25" customHeight="1" x14ac:dyDescent="0.3">
      <c r="B46" s="34" t="s">
        <v>39</v>
      </c>
      <c r="C46" s="36">
        <f>AVERAGE(C24:C44)</f>
        <v>297.40499999999997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39</v>
      </c>
      <c r="C48" s="37" t="s">
        <v>40</v>
      </c>
      <c r="D48" s="32"/>
      <c r="G48" s="10"/>
    </row>
    <row r="49" spans="1:6" ht="17.25" customHeight="1" x14ac:dyDescent="0.3">
      <c r="B49" s="417">
        <f>C46</f>
        <v>297.40499999999997</v>
      </c>
      <c r="C49" s="45">
        <f>-IF(C46&lt;=80,10%,IF(C46&lt;250,7.5%,5%))</f>
        <v>-0.05</v>
      </c>
      <c r="D49" s="33">
        <f>IF(C46&lt;=80,C46*0.9,IF(C46&lt;250,C46*0.925,C46*0.95))</f>
        <v>282.53474999999997</v>
      </c>
    </row>
    <row r="50" spans="1:6" ht="17.25" customHeight="1" x14ac:dyDescent="0.3">
      <c r="B50" s="418"/>
      <c r="C50" s="46">
        <f>IF(C46&lt;=80, 10%, IF(C46&lt;250, 7.5%, 5%))</f>
        <v>0.05</v>
      </c>
      <c r="D50" s="33">
        <f>IF(C46&lt;=80, C46*1.1, IF(C46&lt;250, C46*1.075, C46*1.05))</f>
        <v>312.27524999999997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3"/>
      <c r="C53" s="24"/>
      <c r="D53" s="23"/>
      <c r="E53" s="13"/>
      <c r="F53" s="25"/>
    </row>
    <row r="54" spans="1:6" ht="34.5" customHeight="1" x14ac:dyDescent="0.3">
      <c r="A54" s="22" t="s">
        <v>26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activeCell="B18" sqref="B18:C23"/>
    </sheetView>
  </sheetViews>
  <sheetFormatPr defaultRowHeight="13.2" x14ac:dyDescent="0.25"/>
  <cols>
    <col min="1" max="1" width="54.88671875" customWidth="1"/>
    <col min="2" max="2" width="39.44140625" customWidth="1"/>
    <col min="3" max="3" width="42.5546875" customWidth="1"/>
    <col min="4" max="4" width="21" customWidth="1"/>
    <col min="5" max="5" width="28.33203125" customWidth="1"/>
    <col min="6" max="6" width="23.88671875" customWidth="1"/>
    <col min="7" max="7" width="28.21875" customWidth="1"/>
  </cols>
  <sheetData>
    <row r="1" spans="1:7" x14ac:dyDescent="0.25">
      <c r="A1" s="425" t="s">
        <v>41</v>
      </c>
      <c r="B1" s="425"/>
      <c r="C1" s="425"/>
      <c r="D1" s="425"/>
      <c r="E1" s="425"/>
      <c r="F1" s="425"/>
      <c r="G1" s="425"/>
    </row>
    <row r="2" spans="1:7" x14ac:dyDescent="0.25">
      <c r="A2" s="425"/>
      <c r="B2" s="425"/>
      <c r="C2" s="425"/>
      <c r="D2" s="425"/>
      <c r="E2" s="425"/>
      <c r="F2" s="425"/>
      <c r="G2" s="425"/>
    </row>
    <row r="3" spans="1:7" x14ac:dyDescent="0.25">
      <c r="A3" s="425"/>
      <c r="B3" s="425"/>
      <c r="C3" s="425"/>
      <c r="D3" s="425"/>
      <c r="E3" s="425"/>
      <c r="F3" s="425"/>
      <c r="G3" s="425"/>
    </row>
    <row r="4" spans="1:7" x14ac:dyDescent="0.25">
      <c r="A4" s="425"/>
      <c r="B4" s="425"/>
      <c r="C4" s="425"/>
      <c r="D4" s="425"/>
      <c r="E4" s="425"/>
      <c r="F4" s="425"/>
      <c r="G4" s="425"/>
    </row>
    <row r="5" spans="1:7" x14ac:dyDescent="0.25">
      <c r="A5" s="425"/>
      <c r="B5" s="425"/>
      <c r="C5" s="425"/>
      <c r="D5" s="425"/>
      <c r="E5" s="425"/>
      <c r="F5" s="425"/>
      <c r="G5" s="425"/>
    </row>
    <row r="6" spans="1:7" x14ac:dyDescent="0.25">
      <c r="A6" s="425"/>
      <c r="B6" s="425"/>
      <c r="C6" s="425"/>
      <c r="D6" s="425"/>
      <c r="E6" s="425"/>
      <c r="F6" s="425"/>
      <c r="G6" s="425"/>
    </row>
    <row r="7" spans="1:7" x14ac:dyDescent="0.25">
      <c r="A7" s="425"/>
      <c r="B7" s="425"/>
      <c r="C7" s="425"/>
      <c r="D7" s="425"/>
      <c r="E7" s="425"/>
      <c r="F7" s="425"/>
      <c r="G7" s="425"/>
    </row>
    <row r="8" spans="1:7" x14ac:dyDescent="0.25">
      <c r="A8" s="426" t="s">
        <v>42</v>
      </c>
      <c r="B8" s="426"/>
      <c r="C8" s="426"/>
      <c r="D8" s="426"/>
      <c r="E8" s="426"/>
      <c r="F8" s="426"/>
      <c r="G8" s="426"/>
    </row>
    <row r="9" spans="1:7" x14ac:dyDescent="0.25">
      <c r="A9" s="426"/>
      <c r="B9" s="426"/>
      <c r="C9" s="426"/>
      <c r="D9" s="426"/>
      <c r="E9" s="426"/>
      <c r="F9" s="426"/>
      <c r="G9" s="426"/>
    </row>
    <row r="10" spans="1:7" x14ac:dyDescent="0.25">
      <c r="A10" s="426"/>
      <c r="B10" s="426"/>
      <c r="C10" s="426"/>
      <c r="D10" s="426"/>
      <c r="E10" s="426"/>
      <c r="F10" s="426"/>
      <c r="G10" s="426"/>
    </row>
    <row r="11" spans="1:7" x14ac:dyDescent="0.25">
      <c r="A11" s="426"/>
      <c r="B11" s="426"/>
      <c r="C11" s="426"/>
      <c r="D11" s="426"/>
      <c r="E11" s="426"/>
      <c r="F11" s="426"/>
      <c r="G11" s="426"/>
    </row>
    <row r="12" spans="1:7" x14ac:dyDescent="0.25">
      <c r="A12" s="426"/>
      <c r="B12" s="426"/>
      <c r="C12" s="426"/>
      <c r="D12" s="426"/>
      <c r="E12" s="426"/>
      <c r="F12" s="426"/>
      <c r="G12" s="426"/>
    </row>
    <row r="13" spans="1:7" x14ac:dyDescent="0.25">
      <c r="A13" s="426"/>
      <c r="B13" s="426"/>
      <c r="C13" s="426"/>
      <c r="D13" s="426"/>
      <c r="E13" s="426"/>
      <c r="F13" s="426"/>
      <c r="G13" s="426"/>
    </row>
    <row r="14" spans="1:7" x14ac:dyDescent="0.25">
      <c r="A14" s="426"/>
      <c r="B14" s="426"/>
      <c r="C14" s="426"/>
      <c r="D14" s="426"/>
      <c r="E14" s="426"/>
      <c r="F14" s="426"/>
      <c r="G14" s="426"/>
    </row>
    <row r="15" spans="1:7" ht="19.5" customHeight="1" x14ac:dyDescent="0.35">
      <c r="A15" s="50"/>
      <c r="B15" s="50"/>
      <c r="C15" s="50"/>
      <c r="D15" s="50"/>
      <c r="E15" s="50"/>
      <c r="F15" s="50"/>
      <c r="G15" s="50"/>
    </row>
    <row r="16" spans="1:7" ht="19.5" customHeight="1" x14ac:dyDescent="0.35">
      <c r="A16" s="448" t="s">
        <v>27</v>
      </c>
      <c r="B16" s="449"/>
      <c r="C16" s="449"/>
      <c r="D16" s="449"/>
      <c r="E16" s="449"/>
      <c r="F16" s="449"/>
      <c r="G16" s="449"/>
    </row>
    <row r="17" spans="1:7" ht="18.75" customHeight="1" x14ac:dyDescent="0.35">
      <c r="A17" s="51" t="s">
        <v>43</v>
      </c>
      <c r="B17" s="51"/>
      <c r="C17" s="50"/>
      <c r="D17" s="50"/>
      <c r="E17" s="50"/>
      <c r="F17" s="50"/>
      <c r="G17" s="50"/>
    </row>
    <row r="18" spans="1:7" ht="26.25" customHeight="1" x14ac:dyDescent="0.45">
      <c r="A18" s="52" t="s">
        <v>29</v>
      </c>
      <c r="B18" s="441" t="s">
        <v>140</v>
      </c>
      <c r="C18" s="441"/>
      <c r="D18" s="53"/>
      <c r="E18" s="53"/>
      <c r="F18" s="50"/>
      <c r="G18" s="50"/>
    </row>
    <row r="19" spans="1:7" ht="26.25" customHeight="1" x14ac:dyDescent="0.5">
      <c r="A19" s="52" t="s">
        <v>30</v>
      </c>
      <c r="B19" s="227" t="s">
        <v>7</v>
      </c>
      <c r="C19" s="50">
        <v>36</v>
      </c>
      <c r="E19" s="50"/>
      <c r="F19" s="50"/>
      <c r="G19" s="50"/>
    </row>
    <row r="20" spans="1:7" ht="26.25" customHeight="1" x14ac:dyDescent="0.5">
      <c r="A20" s="52" t="s">
        <v>31</v>
      </c>
      <c r="B20" s="442" t="s">
        <v>143</v>
      </c>
      <c r="C20" s="442"/>
      <c r="D20" s="50"/>
      <c r="E20" s="50"/>
      <c r="F20" s="50"/>
      <c r="G20" s="50"/>
    </row>
    <row r="21" spans="1:7" ht="26.25" customHeight="1" x14ac:dyDescent="0.5">
      <c r="A21" s="52" t="s">
        <v>32</v>
      </c>
      <c r="B21" s="54" t="s">
        <v>141</v>
      </c>
      <c r="C21" s="54"/>
      <c r="D21" s="55"/>
      <c r="E21" s="55"/>
      <c r="F21" s="55"/>
      <c r="G21" s="55"/>
    </row>
    <row r="22" spans="1:7" ht="26.25" customHeight="1" x14ac:dyDescent="0.5">
      <c r="A22" s="52" t="s">
        <v>33</v>
      </c>
      <c r="B22" s="56" t="s">
        <v>12</v>
      </c>
      <c r="C22" s="57"/>
      <c r="D22" s="50"/>
      <c r="E22" s="50"/>
      <c r="F22" s="50"/>
      <c r="G22" s="50"/>
    </row>
    <row r="23" spans="1:7" ht="26.25" customHeight="1" x14ac:dyDescent="0.5">
      <c r="A23" s="52" t="s">
        <v>34</v>
      </c>
      <c r="B23" s="56"/>
      <c r="C23" s="57"/>
      <c r="D23" s="50"/>
      <c r="E23" s="50"/>
      <c r="F23" s="50"/>
      <c r="G23" s="50"/>
    </row>
    <row r="24" spans="1:7" ht="18.75" customHeight="1" x14ac:dyDescent="0.35">
      <c r="A24" s="52"/>
      <c r="B24" s="58"/>
      <c r="C24" s="50"/>
      <c r="D24" s="50"/>
      <c r="E24" s="50"/>
      <c r="F24" s="50"/>
      <c r="G24" s="50"/>
    </row>
    <row r="25" spans="1:7" ht="18.75" customHeight="1" x14ac:dyDescent="0.35">
      <c r="A25" s="59" t="s">
        <v>1</v>
      </c>
      <c r="B25" s="58"/>
      <c r="C25" s="50"/>
      <c r="D25" s="50"/>
      <c r="E25" s="50"/>
      <c r="F25" s="50"/>
      <c r="G25" s="50"/>
    </row>
    <row r="26" spans="1:7" ht="26.25" customHeight="1" x14ac:dyDescent="0.45">
      <c r="A26" s="60" t="s">
        <v>4</v>
      </c>
      <c r="B26" s="466" t="s">
        <v>142</v>
      </c>
      <c r="C26" s="441"/>
      <c r="D26" s="50"/>
      <c r="E26" s="50"/>
      <c r="F26" s="50"/>
      <c r="G26" s="50"/>
    </row>
    <row r="27" spans="1:7" ht="26.25" customHeight="1" x14ac:dyDescent="0.5">
      <c r="A27" s="61" t="s">
        <v>44</v>
      </c>
      <c r="B27" s="442" t="s">
        <v>139</v>
      </c>
      <c r="C27" s="442"/>
      <c r="D27" s="50"/>
      <c r="E27" s="50"/>
      <c r="F27" s="50"/>
      <c r="G27" s="50"/>
    </row>
    <row r="28" spans="1:7" ht="27" customHeight="1" x14ac:dyDescent="0.45">
      <c r="A28" s="61" t="s">
        <v>6</v>
      </c>
      <c r="B28" s="62">
        <v>99.29</v>
      </c>
      <c r="C28" s="50"/>
      <c r="D28" s="50"/>
      <c r="E28" s="50"/>
      <c r="F28" s="50"/>
      <c r="G28" s="50"/>
    </row>
    <row r="29" spans="1:7" ht="27" customHeight="1" x14ac:dyDescent="0.5">
      <c r="A29" s="61" t="s">
        <v>45</v>
      </c>
      <c r="B29" s="63"/>
      <c r="C29" s="428" t="s">
        <v>46</v>
      </c>
      <c r="D29" s="429"/>
      <c r="E29" s="429"/>
      <c r="F29" s="429"/>
      <c r="G29" s="446"/>
    </row>
    <row r="30" spans="1:7" ht="19.5" customHeight="1" thickBot="1" x14ac:dyDescent="0.4">
      <c r="A30" s="61" t="s">
        <v>47</v>
      </c>
      <c r="B30" s="65">
        <f>B28-B29</f>
        <v>99.29</v>
      </c>
      <c r="C30" s="66"/>
      <c r="D30" s="66"/>
      <c r="E30" s="66"/>
      <c r="F30" s="66"/>
      <c r="G30" s="66"/>
    </row>
    <row r="31" spans="1:7" ht="27" customHeight="1" thickBot="1" x14ac:dyDescent="0.5">
      <c r="A31" s="61" t="s">
        <v>48</v>
      </c>
      <c r="B31" s="251">
        <f>481.539*2</f>
        <v>963.07799999999997</v>
      </c>
      <c r="C31" s="428" t="s">
        <v>49</v>
      </c>
      <c r="D31" s="429"/>
      <c r="E31" s="429"/>
      <c r="F31" s="429"/>
      <c r="G31" s="446"/>
    </row>
    <row r="32" spans="1:7" ht="27" customHeight="1" thickBot="1" x14ac:dyDescent="0.5">
      <c r="A32" s="61" t="s">
        <v>50</v>
      </c>
      <c r="B32" s="251">
        <v>1001.14</v>
      </c>
      <c r="C32" s="428" t="s">
        <v>51</v>
      </c>
      <c r="D32" s="429"/>
      <c r="E32" s="429"/>
      <c r="F32" s="429"/>
      <c r="G32" s="446"/>
    </row>
    <row r="33" spans="1:7" ht="18.75" customHeight="1" x14ac:dyDescent="0.35">
      <c r="A33" s="61"/>
      <c r="B33" s="68"/>
      <c r="C33" s="69"/>
      <c r="D33" s="69"/>
      <c r="E33" s="69"/>
      <c r="F33" s="69"/>
      <c r="G33" s="69"/>
    </row>
    <row r="34" spans="1:7" ht="18.75" customHeight="1" x14ac:dyDescent="0.35">
      <c r="A34" s="61" t="s">
        <v>52</v>
      </c>
      <c r="B34" s="70">
        <f>B31/B32</f>
        <v>0.96198134127095114</v>
      </c>
      <c r="C34" s="50" t="s">
        <v>53</v>
      </c>
      <c r="D34" s="50"/>
      <c r="E34" s="50"/>
      <c r="F34" s="50"/>
      <c r="G34" s="50"/>
    </row>
    <row r="35" spans="1:7" ht="19.5" customHeight="1" x14ac:dyDescent="0.35">
      <c r="A35" s="61"/>
      <c r="B35" s="65"/>
      <c r="C35" s="64"/>
      <c r="D35" s="64"/>
      <c r="E35" s="64"/>
      <c r="F35" s="64"/>
      <c r="G35" s="50"/>
    </row>
    <row r="36" spans="1:7" ht="27" customHeight="1" x14ac:dyDescent="0.45">
      <c r="A36" s="71" t="s">
        <v>54</v>
      </c>
      <c r="B36" s="72">
        <v>50</v>
      </c>
      <c r="C36" s="50"/>
      <c r="D36" s="430" t="s">
        <v>55</v>
      </c>
      <c r="E36" s="447"/>
      <c r="F36" s="430" t="s">
        <v>56</v>
      </c>
      <c r="G36" s="431"/>
    </row>
    <row r="37" spans="1:7" ht="26.25" customHeight="1" x14ac:dyDescent="0.45">
      <c r="A37" s="73" t="s">
        <v>57</v>
      </c>
      <c r="B37" s="74">
        <v>5</v>
      </c>
      <c r="C37" s="75" t="s">
        <v>58</v>
      </c>
      <c r="D37" s="76" t="s">
        <v>59</v>
      </c>
      <c r="E37" s="77" t="s">
        <v>60</v>
      </c>
      <c r="F37" s="76" t="s">
        <v>59</v>
      </c>
      <c r="G37" s="78" t="s">
        <v>60</v>
      </c>
    </row>
    <row r="38" spans="1:7" ht="26.25" customHeight="1" x14ac:dyDescent="0.45">
      <c r="A38" s="73" t="s">
        <v>61</v>
      </c>
      <c r="B38" s="74">
        <v>50</v>
      </c>
      <c r="C38" s="79">
        <v>1</v>
      </c>
      <c r="D38" s="80">
        <v>36750378</v>
      </c>
      <c r="E38" s="81">
        <f>IF(ISBLANK(D38),"-",$D$48/$D$45*D38)</f>
        <v>43822296.741551809</v>
      </c>
      <c r="F38" s="80">
        <v>40968896</v>
      </c>
      <c r="G38" s="82">
        <f>IF(ISBLANK(F38),"-",$D$48/$F$45*F38)</f>
        <v>45469158.951046705</v>
      </c>
    </row>
    <row r="39" spans="1:7" ht="26.25" customHeight="1" x14ac:dyDescent="0.45">
      <c r="A39" s="73" t="s">
        <v>62</v>
      </c>
      <c r="B39" s="74">
        <v>1</v>
      </c>
      <c r="C39" s="83">
        <v>2</v>
      </c>
      <c r="D39" s="84">
        <v>36853579</v>
      </c>
      <c r="E39" s="85">
        <f>IF(ISBLANK(D39),"-",$D$48/$D$45*D39)</f>
        <v>43945356.832145296</v>
      </c>
      <c r="F39" s="84">
        <v>40896119</v>
      </c>
      <c r="G39" s="86">
        <f>IF(ISBLANK(F39),"-",$D$48/$F$45*F39)</f>
        <v>45388387.700071812</v>
      </c>
    </row>
    <row r="40" spans="1:7" ht="26.25" customHeight="1" x14ac:dyDescent="0.45">
      <c r="A40" s="73" t="s">
        <v>63</v>
      </c>
      <c r="B40" s="74">
        <v>1</v>
      </c>
      <c r="C40" s="83">
        <v>3</v>
      </c>
      <c r="D40" s="84">
        <v>36792534</v>
      </c>
      <c r="E40" s="85">
        <f>IF(ISBLANK(D40),"-",$D$48/$D$45*D40)</f>
        <v>43872564.87053369</v>
      </c>
      <c r="F40" s="84"/>
      <c r="G40" s="86" t="str">
        <f>IF(ISBLANK(F40),"-",$D$48/$F$45*F40)</f>
        <v>-</v>
      </c>
    </row>
    <row r="41" spans="1:7" ht="26.25" customHeight="1" x14ac:dyDescent="0.45">
      <c r="A41" s="73" t="s">
        <v>64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</row>
    <row r="42" spans="1:7" ht="27" customHeight="1" x14ac:dyDescent="0.45">
      <c r="A42" s="73" t="s">
        <v>65</v>
      </c>
      <c r="B42" s="74">
        <v>1</v>
      </c>
      <c r="C42" s="91" t="s">
        <v>66</v>
      </c>
      <c r="D42" s="92">
        <f>AVERAGE(D38:D41)</f>
        <v>36798830.333333336</v>
      </c>
      <c r="E42" s="93">
        <f>AVERAGE(E38:E41)</f>
        <v>43880072.814743601</v>
      </c>
      <c r="F42" s="92">
        <f>AVERAGE(F38:F41)</f>
        <v>40932507.5</v>
      </c>
      <c r="G42" s="94">
        <f>AVERAGE(G38:G41)</f>
        <v>45428773.325559258</v>
      </c>
    </row>
    <row r="43" spans="1:7" ht="26.25" customHeight="1" x14ac:dyDescent="0.45">
      <c r="A43" s="73" t="s">
        <v>67</v>
      </c>
      <c r="B43" s="74">
        <v>1</v>
      </c>
      <c r="C43" s="95" t="s">
        <v>68</v>
      </c>
      <c r="D43" s="96">
        <v>26.34</v>
      </c>
      <c r="E43" s="97"/>
      <c r="F43" s="96">
        <v>28.3</v>
      </c>
      <c r="G43" s="50"/>
    </row>
    <row r="44" spans="1:7" ht="26.25" customHeight="1" x14ac:dyDescent="0.45">
      <c r="A44" s="73" t="s">
        <v>69</v>
      </c>
      <c r="B44" s="74">
        <v>1</v>
      </c>
      <c r="C44" s="98" t="s">
        <v>70</v>
      </c>
      <c r="D44" s="99">
        <f>D43*$B$34</f>
        <v>25.338588529076851</v>
      </c>
      <c r="E44" s="100"/>
      <c r="F44" s="99">
        <f>F43*$B$34</f>
        <v>27.224071957967919</v>
      </c>
      <c r="G44" s="50"/>
    </row>
    <row r="45" spans="1:7" ht="19.5" customHeight="1" x14ac:dyDescent="0.35">
      <c r="A45" s="73" t="s">
        <v>71</v>
      </c>
      <c r="B45" s="101">
        <f>(B44/B43)*(B42/B41)*(B40/B39)*(B38/B37)*B36</f>
        <v>500</v>
      </c>
      <c r="C45" s="98" t="s">
        <v>72</v>
      </c>
      <c r="D45" s="102">
        <f>D44*$B$30/100</f>
        <v>25.158684550520405</v>
      </c>
      <c r="E45" s="103"/>
      <c r="F45" s="102">
        <f>F44*$B$30/100</f>
        <v>27.030781047066348</v>
      </c>
      <c r="G45" s="50"/>
    </row>
    <row r="46" spans="1:7" ht="19.5" customHeight="1" x14ac:dyDescent="0.35">
      <c r="A46" s="432" t="s">
        <v>73</v>
      </c>
      <c r="B46" s="433"/>
      <c r="C46" s="98" t="s">
        <v>74</v>
      </c>
      <c r="D46" s="99">
        <f>D45/$B$45</f>
        <v>5.0317369101040808E-2</v>
      </c>
      <c r="E46" s="103"/>
      <c r="F46" s="104">
        <f>F45/$B$45</f>
        <v>5.4061562094132695E-2</v>
      </c>
      <c r="G46" s="50"/>
    </row>
    <row r="47" spans="1:7" ht="27" customHeight="1" x14ac:dyDescent="0.45">
      <c r="A47" s="434"/>
      <c r="B47" s="435"/>
      <c r="C47" s="105" t="s">
        <v>75</v>
      </c>
      <c r="D47" s="106">
        <f>20/100*3/10</f>
        <v>6.0000000000000012E-2</v>
      </c>
      <c r="E47" s="50"/>
      <c r="F47" s="107"/>
      <c r="G47" s="50"/>
    </row>
    <row r="48" spans="1:7" ht="18.75" customHeight="1" x14ac:dyDescent="0.35">
      <c r="A48" s="50"/>
      <c r="B48" s="50"/>
      <c r="C48" s="108" t="s">
        <v>76</v>
      </c>
      <c r="D48" s="102">
        <f>D47*$B$45</f>
        <v>30.000000000000007</v>
      </c>
      <c r="E48" s="50"/>
      <c r="F48" s="107"/>
      <c r="G48" s="50"/>
    </row>
    <row r="49" spans="1:7" ht="19.5" customHeight="1" x14ac:dyDescent="0.35">
      <c r="A49" s="50"/>
      <c r="B49" s="50"/>
      <c r="C49" s="109" t="s">
        <v>77</v>
      </c>
      <c r="D49" s="110">
        <f>D48/B34</f>
        <v>31.185636054400586</v>
      </c>
      <c r="E49" s="50"/>
      <c r="F49" s="107"/>
      <c r="G49" s="50"/>
    </row>
    <row r="50" spans="1:7" ht="18.75" customHeight="1" x14ac:dyDescent="0.35">
      <c r="A50" s="50"/>
      <c r="B50" s="50"/>
      <c r="C50" s="71" t="s">
        <v>78</v>
      </c>
      <c r="D50" s="111">
        <f>AVERAGE(E38:E41,G38:G41)</f>
        <v>44499553.019069865</v>
      </c>
      <c r="E50" s="50"/>
      <c r="F50" s="112"/>
      <c r="G50" s="50"/>
    </row>
    <row r="51" spans="1:7" ht="18.75" customHeight="1" x14ac:dyDescent="0.35">
      <c r="A51" s="50"/>
      <c r="B51" s="50"/>
      <c r="C51" s="73" t="s">
        <v>79</v>
      </c>
      <c r="D51" s="113">
        <f>STDEV(E38:E41,G38:G41)/D50</f>
        <v>1.9098295926654123E-2</v>
      </c>
      <c r="E51" s="50"/>
      <c r="F51" s="112"/>
      <c r="G51" s="50"/>
    </row>
    <row r="52" spans="1:7" ht="19.5" customHeight="1" x14ac:dyDescent="0.35">
      <c r="A52" s="50"/>
      <c r="B52" s="50"/>
      <c r="C52" s="114" t="s">
        <v>20</v>
      </c>
      <c r="D52" s="115">
        <f>COUNT(E38:E41,G38:G41)</f>
        <v>5</v>
      </c>
      <c r="E52" s="50"/>
      <c r="F52" s="112"/>
      <c r="G52" s="50"/>
    </row>
    <row r="53" spans="1:7" ht="18.75" customHeight="1" x14ac:dyDescent="0.35">
      <c r="A53" s="50"/>
      <c r="B53" s="50"/>
      <c r="C53" s="50"/>
      <c r="D53" s="50"/>
      <c r="E53" s="50"/>
      <c r="F53" s="50"/>
      <c r="G53" s="50"/>
    </row>
    <row r="54" spans="1:7" ht="18.75" customHeight="1" x14ac:dyDescent="0.35">
      <c r="A54" s="51" t="s">
        <v>1</v>
      </c>
      <c r="B54" s="116" t="s">
        <v>80</v>
      </c>
      <c r="C54" s="50"/>
      <c r="D54" s="50"/>
      <c r="E54" s="50"/>
      <c r="F54" s="50"/>
      <c r="G54" s="50"/>
    </row>
    <row r="55" spans="1:7" ht="18.75" customHeight="1" x14ac:dyDescent="0.35">
      <c r="A55" s="50" t="s">
        <v>81</v>
      </c>
      <c r="B55" s="117" t="str">
        <f>B21</f>
        <v>Each tablet contains Rosuvastatin (as calcium) 20 mg</v>
      </c>
      <c r="C55" s="50"/>
      <c r="D55" s="50"/>
      <c r="E55" s="50"/>
      <c r="F55" s="50"/>
      <c r="G55" s="50"/>
    </row>
    <row r="56" spans="1:7" ht="26.25" customHeight="1" x14ac:dyDescent="0.45">
      <c r="A56" s="118" t="s">
        <v>82</v>
      </c>
      <c r="B56" s="119">
        <v>20</v>
      </c>
      <c r="C56" s="50" t="str">
        <f>B20</f>
        <v>Rosuvastatin (as calcium)</v>
      </c>
      <c r="D56" s="50"/>
      <c r="E56" s="50"/>
      <c r="F56" s="50"/>
      <c r="G56" s="50"/>
    </row>
    <row r="57" spans="1:7" ht="24" customHeight="1" thickBot="1" x14ac:dyDescent="0.35">
      <c r="A57" s="120" t="s">
        <v>144</v>
      </c>
      <c r="B57" s="416">
        <f>Uniformity!C46</f>
        <v>297.40499999999997</v>
      </c>
      <c r="C57" s="120"/>
      <c r="D57" s="121"/>
      <c r="E57" s="121"/>
      <c r="F57" s="121"/>
      <c r="G57" s="121"/>
    </row>
    <row r="58" spans="1:7" ht="57.75" customHeight="1" x14ac:dyDescent="0.45">
      <c r="A58" s="71" t="s">
        <v>83</v>
      </c>
      <c r="B58" s="72">
        <v>100</v>
      </c>
      <c r="C58" s="122" t="s">
        <v>84</v>
      </c>
      <c r="D58" s="123" t="s">
        <v>85</v>
      </c>
      <c r="E58" s="124" t="s">
        <v>86</v>
      </c>
      <c r="F58" s="125" t="s">
        <v>87</v>
      </c>
      <c r="G58" s="126" t="s">
        <v>88</v>
      </c>
    </row>
    <row r="59" spans="1:7" ht="26.25" customHeight="1" x14ac:dyDescent="0.5">
      <c r="A59" s="73" t="s">
        <v>57</v>
      </c>
      <c r="B59" s="74">
        <v>3</v>
      </c>
      <c r="C59" s="127">
        <v>1</v>
      </c>
      <c r="D59" s="230">
        <v>39331675</v>
      </c>
      <c r="E59" s="128">
        <f t="shared" ref="E59:E68" si="0">IF(ISBLANK(D59),"-",D59/$D$50*$D$47*$B$67)</f>
        <v>17.677334863631007</v>
      </c>
      <c r="F59" s="129">
        <f t="shared" ref="F59:F68" si="1">IF(ISBLANK(D59),"-",E59/$E$70*100)</f>
        <v>97.282702391555162</v>
      </c>
      <c r="G59" s="130">
        <f t="shared" ref="G59:G68" si="2">IF(ISBLANK(D59),"-",E59/$B$56*100)</f>
        <v>88.386674318155031</v>
      </c>
    </row>
    <row r="60" spans="1:7" ht="26.25" customHeight="1" x14ac:dyDescent="0.5">
      <c r="A60" s="73" t="s">
        <v>61</v>
      </c>
      <c r="B60" s="74">
        <v>10</v>
      </c>
      <c r="C60" s="131">
        <v>2</v>
      </c>
      <c r="D60" s="231">
        <v>40339086</v>
      </c>
      <c r="E60" s="132">
        <f t="shared" si="0"/>
        <v>18.130108400285764</v>
      </c>
      <c r="F60" s="133">
        <f t="shared" si="1"/>
        <v>99.77442603411501</v>
      </c>
      <c r="G60" s="134">
        <f t="shared" si="2"/>
        <v>90.650542001428818</v>
      </c>
    </row>
    <row r="61" spans="1:7" ht="26.25" customHeight="1" x14ac:dyDescent="0.5">
      <c r="A61" s="73" t="s">
        <v>62</v>
      </c>
      <c r="B61" s="74">
        <v>1</v>
      </c>
      <c r="C61" s="131">
        <v>3</v>
      </c>
      <c r="D61" s="231">
        <v>41249976</v>
      </c>
      <c r="E61" s="132">
        <f t="shared" si="0"/>
        <v>18.539501276483708</v>
      </c>
      <c r="F61" s="133">
        <f t="shared" si="1"/>
        <v>102.0274152795881</v>
      </c>
      <c r="G61" s="134">
        <f t="shared" si="2"/>
        <v>92.697506382418538</v>
      </c>
    </row>
    <row r="62" spans="1:7" ht="26.25" customHeight="1" x14ac:dyDescent="0.5">
      <c r="A62" s="73" t="s">
        <v>63</v>
      </c>
      <c r="B62" s="74">
        <v>1</v>
      </c>
      <c r="C62" s="131">
        <v>4</v>
      </c>
      <c r="D62" s="231">
        <v>39933238</v>
      </c>
      <c r="E62" s="132">
        <f t="shared" si="0"/>
        <v>17.947702972606038</v>
      </c>
      <c r="F62" s="133">
        <f t="shared" si="1"/>
        <v>98.77060430010016</v>
      </c>
      <c r="G62" s="134">
        <f t="shared" si="2"/>
        <v>89.73851486303019</v>
      </c>
    </row>
    <row r="63" spans="1:7" ht="26.25" customHeight="1" x14ac:dyDescent="0.5">
      <c r="A63" s="73" t="s">
        <v>64</v>
      </c>
      <c r="B63" s="74">
        <v>1</v>
      </c>
      <c r="C63" s="131">
        <v>5</v>
      </c>
      <c r="D63" s="231">
        <v>39580570</v>
      </c>
      <c r="E63" s="132">
        <f t="shared" si="0"/>
        <v>17.789198908599435</v>
      </c>
      <c r="F63" s="133">
        <f t="shared" si="1"/>
        <v>97.898317623089213</v>
      </c>
      <c r="G63" s="134">
        <f t="shared" si="2"/>
        <v>88.94599454299717</v>
      </c>
    </row>
    <row r="64" spans="1:7" ht="26.25" customHeight="1" x14ac:dyDescent="0.5">
      <c r="A64" s="73" t="s">
        <v>65</v>
      </c>
      <c r="B64" s="74">
        <v>1</v>
      </c>
      <c r="C64" s="131">
        <v>6</v>
      </c>
      <c r="D64" s="231">
        <v>41279447</v>
      </c>
      <c r="E64" s="132">
        <f t="shared" si="0"/>
        <v>18.552746802787027</v>
      </c>
      <c r="F64" s="133">
        <f t="shared" si="1"/>
        <v>102.1003086542583</v>
      </c>
      <c r="G64" s="134">
        <f t="shared" si="2"/>
        <v>92.763734013935135</v>
      </c>
    </row>
    <row r="65" spans="1:7" ht="26.25" customHeight="1" x14ac:dyDescent="0.5">
      <c r="A65" s="73" t="s">
        <v>67</v>
      </c>
      <c r="B65" s="74">
        <v>1</v>
      </c>
      <c r="C65" s="131">
        <v>7</v>
      </c>
      <c r="D65" s="231">
        <v>39496114</v>
      </c>
      <c r="E65" s="132">
        <f t="shared" si="0"/>
        <v>17.751240774519388</v>
      </c>
      <c r="F65" s="133">
        <f t="shared" si="1"/>
        <v>97.689424716464174</v>
      </c>
      <c r="G65" s="134">
        <f t="shared" si="2"/>
        <v>88.756203872596942</v>
      </c>
    </row>
    <row r="66" spans="1:7" ht="26.25" customHeight="1" x14ac:dyDescent="0.5">
      <c r="A66" s="73" t="s">
        <v>69</v>
      </c>
      <c r="B66" s="74">
        <v>1</v>
      </c>
      <c r="C66" s="131">
        <v>8</v>
      </c>
      <c r="D66" s="231">
        <v>41258329</v>
      </c>
      <c r="E66" s="132">
        <f t="shared" si="0"/>
        <v>18.543255471496149</v>
      </c>
      <c r="F66" s="133">
        <f t="shared" si="1"/>
        <v>102.04807553402875</v>
      </c>
      <c r="G66" s="134">
        <f t="shared" si="2"/>
        <v>92.716277357480749</v>
      </c>
    </row>
    <row r="67" spans="1:7" ht="27" customHeight="1" x14ac:dyDescent="0.5">
      <c r="A67" s="73" t="s">
        <v>71</v>
      </c>
      <c r="B67" s="101">
        <f>(B66/B65)*(B64/B63)*(B62/B61)*(B60/B59)*B58</f>
        <v>333.33333333333337</v>
      </c>
      <c r="C67" s="131">
        <v>9</v>
      </c>
      <c r="D67" s="231">
        <v>41029360</v>
      </c>
      <c r="E67" s="132">
        <f t="shared" si="0"/>
        <v>18.440347022100319</v>
      </c>
      <c r="F67" s="133">
        <f t="shared" si="1"/>
        <v>101.48174513788133</v>
      </c>
      <c r="G67" s="134">
        <f t="shared" si="2"/>
        <v>92.201735110501588</v>
      </c>
    </row>
    <row r="68" spans="1:7" ht="27" customHeight="1" x14ac:dyDescent="0.5">
      <c r="A68" s="432" t="s">
        <v>73</v>
      </c>
      <c r="B68" s="437"/>
      <c r="C68" s="135">
        <v>10</v>
      </c>
      <c r="D68" s="232">
        <v>40805067</v>
      </c>
      <c r="E68" s="136">
        <f t="shared" si="0"/>
        <v>18.339540166847691</v>
      </c>
      <c r="F68" s="137">
        <f t="shared" si="1"/>
        <v>100.92698032891987</v>
      </c>
      <c r="G68" s="138">
        <f t="shared" si="2"/>
        <v>91.697700834238447</v>
      </c>
    </row>
    <row r="69" spans="1:7" ht="19.5" customHeight="1" x14ac:dyDescent="0.35">
      <c r="A69" s="434"/>
      <c r="B69" s="438"/>
      <c r="C69" s="131"/>
      <c r="D69" s="103"/>
      <c r="E69" s="139"/>
      <c r="F69" s="121"/>
      <c r="G69" s="140"/>
    </row>
    <row r="70" spans="1:7" ht="26.25" customHeight="1" x14ac:dyDescent="0.45">
      <c r="A70" s="121"/>
      <c r="B70" s="121"/>
      <c r="C70" s="141" t="s">
        <v>89</v>
      </c>
      <c r="D70" s="142"/>
      <c r="E70" s="143">
        <f>AVERAGE(E59:E68)</f>
        <v>18.171097665935651</v>
      </c>
      <c r="F70" s="143">
        <f>AVERAGE(F59:F68)</f>
        <v>100</v>
      </c>
      <c r="G70" s="144">
        <f>AVERAGE(G59:G68)</f>
        <v>90.855488329678266</v>
      </c>
    </row>
    <row r="71" spans="1:7" ht="26.25" customHeight="1" x14ac:dyDescent="0.45">
      <c r="A71" s="121"/>
      <c r="B71" s="121"/>
      <c r="C71" s="141"/>
      <c r="D71" s="142"/>
      <c r="E71" s="145">
        <f>STDEV(E59:E68)/E70</f>
        <v>1.9571241482272302E-2</v>
      </c>
      <c r="F71" s="145">
        <f>STDEV(F59:F68)/F70</f>
        <v>1.9571241482272315E-2</v>
      </c>
      <c r="G71" s="146">
        <f>STDEV(G59:G68)/G70</f>
        <v>1.9571241482272295E-2</v>
      </c>
    </row>
    <row r="72" spans="1:7" ht="27" customHeight="1" x14ac:dyDescent="0.45">
      <c r="A72" s="121"/>
      <c r="B72" s="121"/>
      <c r="C72" s="147"/>
      <c r="D72" s="148"/>
      <c r="E72" s="149">
        <f>COUNT(E59:E68)</f>
        <v>10</v>
      </c>
      <c r="F72" s="149">
        <f>COUNT(F59:F68)</f>
        <v>10</v>
      </c>
      <c r="G72" s="150">
        <f>COUNT(G59:G68)</f>
        <v>10</v>
      </c>
    </row>
    <row r="73" spans="1:7" ht="18.75" customHeight="1" x14ac:dyDescent="0.35">
      <c r="A73" s="121"/>
      <c r="B73" s="151"/>
      <c r="C73" s="151"/>
      <c r="D73" s="100"/>
      <c r="E73" s="142"/>
      <c r="F73" s="97"/>
      <c r="G73" s="152"/>
    </row>
    <row r="74" spans="1:7" ht="18.75" customHeight="1" x14ac:dyDescent="0.35">
      <c r="A74" s="60" t="s">
        <v>90</v>
      </c>
      <c r="B74" s="153" t="s">
        <v>91</v>
      </c>
      <c r="C74" s="436" t="str">
        <f>B20</f>
        <v>Rosuvastatin (as calcium)</v>
      </c>
      <c r="D74" s="436"/>
      <c r="E74" s="154" t="s">
        <v>92</v>
      </c>
      <c r="F74" s="154"/>
      <c r="G74" s="155">
        <f>G70</f>
        <v>90.855488329678266</v>
      </c>
    </row>
    <row r="75" spans="1:7" ht="18.75" customHeight="1" x14ac:dyDescent="0.35">
      <c r="A75" s="60"/>
      <c r="B75" s="153"/>
      <c r="C75" s="156"/>
      <c r="D75" s="156"/>
      <c r="E75" s="154"/>
      <c r="F75" s="154"/>
      <c r="G75" s="157"/>
    </row>
    <row r="76" spans="1:7" ht="18.75" customHeight="1" x14ac:dyDescent="0.35">
      <c r="A76" s="51" t="s">
        <v>1</v>
      </c>
      <c r="B76" s="158" t="s">
        <v>93</v>
      </c>
      <c r="C76" s="50"/>
      <c r="D76" s="50"/>
      <c r="E76" s="50"/>
      <c r="F76" s="50"/>
      <c r="G76" s="121"/>
    </row>
    <row r="77" spans="1:7" ht="18.75" customHeight="1" x14ac:dyDescent="0.35">
      <c r="A77" s="51"/>
      <c r="B77" s="116"/>
      <c r="C77" s="50"/>
      <c r="D77" s="50"/>
      <c r="E77" s="50"/>
      <c r="F77" s="50"/>
      <c r="G77" s="121"/>
    </row>
    <row r="78" spans="1:7" ht="18.75" customHeight="1" x14ac:dyDescent="0.35">
      <c r="A78" s="121"/>
      <c r="B78" s="439" t="s">
        <v>94</v>
      </c>
      <c r="C78" s="440"/>
      <c r="D78" s="50"/>
      <c r="E78" s="121"/>
      <c r="F78" s="121"/>
      <c r="G78" s="121"/>
    </row>
    <row r="79" spans="1:7" ht="18.75" customHeight="1" x14ac:dyDescent="0.35">
      <c r="A79" s="121"/>
      <c r="B79" s="159" t="s">
        <v>39</v>
      </c>
      <c r="C79" s="160">
        <f>G70</f>
        <v>90.855488329678266</v>
      </c>
      <c r="D79" s="50"/>
      <c r="E79" s="121"/>
      <c r="F79" s="121"/>
      <c r="G79" s="121"/>
    </row>
    <row r="80" spans="1:7" ht="26.25" customHeight="1" x14ac:dyDescent="0.5">
      <c r="A80" s="121"/>
      <c r="B80" s="159" t="s">
        <v>95</v>
      </c>
      <c r="C80" s="161">
        <v>2.4</v>
      </c>
      <c r="D80" s="50"/>
      <c r="E80" s="121"/>
      <c r="F80" s="121"/>
      <c r="G80" s="121"/>
    </row>
    <row r="81" spans="1:7" ht="18.75" customHeight="1" x14ac:dyDescent="0.35">
      <c r="A81" s="121"/>
      <c r="B81" s="159" t="s">
        <v>96</v>
      </c>
      <c r="C81" s="160">
        <f>STDEV(G59:G68)</f>
        <v>1.7781547020899056</v>
      </c>
      <c r="D81" s="50"/>
      <c r="E81" s="121"/>
      <c r="F81" s="121"/>
      <c r="G81" s="121"/>
    </row>
    <row r="82" spans="1:7" ht="18.75" customHeight="1" x14ac:dyDescent="0.35">
      <c r="A82" s="121"/>
      <c r="B82" s="159" t="s">
        <v>97</v>
      </c>
      <c r="C82" s="160">
        <f>IF(OR(G70&lt;98.5,G70&gt;101.5),(IF(98.5&gt;G70,98.5,101.5)),C79)</f>
        <v>98.5</v>
      </c>
      <c r="D82" s="50"/>
      <c r="E82" s="121"/>
      <c r="F82" s="121"/>
      <c r="G82" s="121"/>
    </row>
    <row r="83" spans="1:7" ht="18.75" customHeight="1" x14ac:dyDescent="0.35">
      <c r="A83" s="121"/>
      <c r="B83" s="159" t="s">
        <v>98</v>
      </c>
      <c r="C83" s="162">
        <f>ABS(C82-C79)+(C80*C81)</f>
        <v>11.912082955337507</v>
      </c>
      <c r="D83" s="50"/>
      <c r="E83" s="121"/>
      <c r="F83" s="121"/>
      <c r="G83" s="121"/>
    </row>
    <row r="84" spans="1:7" ht="18.75" customHeight="1" x14ac:dyDescent="0.35">
      <c r="A84" s="118"/>
      <c r="B84" s="163"/>
      <c r="C84" s="50"/>
      <c r="D84" s="50"/>
      <c r="E84" s="50"/>
      <c r="F84" s="50"/>
      <c r="G84" s="50"/>
    </row>
    <row r="85" spans="1:7" ht="18.75" customHeight="1" x14ac:dyDescent="0.35">
      <c r="A85" s="59" t="s">
        <v>99</v>
      </c>
      <c r="B85" s="59" t="s">
        <v>100</v>
      </c>
      <c r="C85" s="50"/>
      <c r="D85" s="50"/>
      <c r="E85" s="50"/>
      <c r="F85" s="50"/>
      <c r="G85" s="50"/>
    </row>
    <row r="86" spans="1:7" ht="18.75" customHeight="1" x14ac:dyDescent="0.35">
      <c r="A86" s="59"/>
      <c r="B86" s="59"/>
      <c r="C86" s="50"/>
      <c r="D86" s="50"/>
      <c r="E86" s="50"/>
      <c r="F86" s="50"/>
      <c r="G86" s="50"/>
    </row>
    <row r="87" spans="1:7" ht="26.25" customHeight="1" x14ac:dyDescent="0.45">
      <c r="A87" s="60" t="s">
        <v>4</v>
      </c>
      <c r="B87" s="441"/>
      <c r="C87" s="441"/>
      <c r="D87" s="50"/>
      <c r="E87" s="50"/>
      <c r="F87" s="50"/>
      <c r="G87" s="50"/>
    </row>
    <row r="88" spans="1:7" ht="26.25" customHeight="1" x14ac:dyDescent="0.5">
      <c r="A88" s="61" t="s">
        <v>44</v>
      </c>
      <c r="B88" s="442"/>
      <c r="C88" s="442"/>
      <c r="D88" s="50"/>
      <c r="E88" s="50"/>
      <c r="F88" s="50"/>
      <c r="G88" s="50"/>
    </row>
    <row r="89" spans="1:7" ht="27" customHeight="1" x14ac:dyDescent="0.45">
      <c r="A89" s="61" t="s">
        <v>6</v>
      </c>
      <c r="B89" s="62">
        <f>B32</f>
        <v>1001.14</v>
      </c>
      <c r="C89" s="50"/>
      <c r="D89" s="50"/>
      <c r="E89" s="50"/>
      <c r="F89" s="50"/>
      <c r="G89" s="50"/>
    </row>
    <row r="90" spans="1:7" ht="27" customHeight="1" x14ac:dyDescent="0.45">
      <c r="A90" s="61" t="s">
        <v>45</v>
      </c>
      <c r="B90" s="62">
        <f>B33</f>
        <v>0</v>
      </c>
      <c r="C90" s="443" t="s">
        <v>101</v>
      </c>
      <c r="D90" s="444"/>
      <c r="E90" s="444"/>
      <c r="F90" s="444"/>
      <c r="G90" s="445"/>
    </row>
    <row r="91" spans="1:7" ht="18.75" customHeight="1" x14ac:dyDescent="0.35">
      <c r="A91" s="61" t="s">
        <v>47</v>
      </c>
      <c r="B91" s="65">
        <f>B89-B90</f>
        <v>1001.14</v>
      </c>
      <c r="C91" s="164"/>
      <c r="D91" s="164"/>
      <c r="E91" s="164"/>
      <c r="F91" s="164"/>
      <c r="G91" s="165"/>
    </row>
    <row r="92" spans="1:7" ht="19.5" customHeight="1" x14ac:dyDescent="0.35">
      <c r="A92" s="61"/>
      <c r="B92" s="65"/>
      <c r="C92" s="164"/>
      <c r="D92" s="164"/>
      <c r="E92" s="164"/>
      <c r="F92" s="164"/>
      <c r="G92" s="165"/>
    </row>
    <row r="93" spans="1:7" ht="27" customHeight="1" x14ac:dyDescent="0.45">
      <c r="A93" s="61" t="s">
        <v>48</v>
      </c>
      <c r="B93" s="67">
        <v>1</v>
      </c>
      <c r="C93" s="428" t="s">
        <v>102</v>
      </c>
      <c r="D93" s="429"/>
      <c r="E93" s="429"/>
      <c r="F93" s="429"/>
      <c r="G93" s="429"/>
    </row>
    <row r="94" spans="1:7" ht="27" customHeight="1" x14ac:dyDescent="0.45">
      <c r="A94" s="61" t="s">
        <v>50</v>
      </c>
      <c r="B94" s="67">
        <v>1</v>
      </c>
      <c r="C94" s="428" t="s">
        <v>103</v>
      </c>
      <c r="D94" s="429"/>
      <c r="E94" s="429"/>
      <c r="F94" s="429"/>
      <c r="G94" s="429"/>
    </row>
    <row r="95" spans="1:7" ht="18.75" customHeight="1" x14ac:dyDescent="0.35">
      <c r="A95" s="61"/>
      <c r="B95" s="68"/>
      <c r="C95" s="69"/>
      <c r="D95" s="69"/>
      <c r="E95" s="69"/>
      <c r="F95" s="69"/>
      <c r="G95" s="69"/>
    </row>
    <row r="96" spans="1:7" ht="18.75" customHeight="1" x14ac:dyDescent="0.35">
      <c r="A96" s="61" t="s">
        <v>52</v>
      </c>
      <c r="B96" s="70">
        <f>B93/B94</f>
        <v>1</v>
      </c>
      <c r="C96" s="50" t="s">
        <v>53</v>
      </c>
      <c r="D96" s="50"/>
      <c r="E96" s="50"/>
      <c r="F96" s="50"/>
      <c r="G96" s="50"/>
    </row>
    <row r="97" spans="1:7" ht="19.5" customHeight="1" x14ac:dyDescent="0.35">
      <c r="A97" s="59"/>
      <c r="B97" s="59"/>
      <c r="C97" s="50"/>
      <c r="D97" s="50"/>
      <c r="E97" s="50"/>
      <c r="F97" s="50"/>
      <c r="G97" s="50"/>
    </row>
    <row r="98" spans="1:7" ht="27" customHeight="1" x14ac:dyDescent="0.45">
      <c r="A98" s="71" t="s">
        <v>54</v>
      </c>
      <c r="B98" s="166">
        <v>1</v>
      </c>
      <c r="C98" s="50"/>
      <c r="D98" s="167" t="s">
        <v>55</v>
      </c>
      <c r="E98" s="168"/>
      <c r="F98" s="430" t="s">
        <v>56</v>
      </c>
      <c r="G98" s="431"/>
    </row>
    <row r="99" spans="1:7" ht="26.25" customHeight="1" x14ac:dyDescent="0.45">
      <c r="A99" s="73" t="s">
        <v>57</v>
      </c>
      <c r="B99" s="169">
        <v>1</v>
      </c>
      <c r="C99" s="75" t="s">
        <v>58</v>
      </c>
      <c r="D99" s="76" t="s">
        <v>59</v>
      </c>
      <c r="E99" s="77" t="s">
        <v>60</v>
      </c>
      <c r="F99" s="76" t="s">
        <v>59</v>
      </c>
      <c r="G99" s="78" t="s">
        <v>60</v>
      </c>
    </row>
    <row r="100" spans="1:7" ht="26.25" customHeight="1" x14ac:dyDescent="0.45">
      <c r="A100" s="73" t="s">
        <v>61</v>
      </c>
      <c r="B100" s="169">
        <v>1</v>
      </c>
      <c r="C100" s="79">
        <v>1</v>
      </c>
      <c r="D100" s="80"/>
      <c r="E100" s="170" t="str">
        <f>IF(ISBLANK(D100),"-",$D$110/$D$107*D100)</f>
        <v>-</v>
      </c>
      <c r="F100" s="171"/>
      <c r="G100" s="82" t="str">
        <f>IF(ISBLANK(F100),"-",$D$110/$F$107*F100)</f>
        <v>-</v>
      </c>
    </row>
    <row r="101" spans="1:7" ht="26.25" customHeight="1" x14ac:dyDescent="0.45">
      <c r="A101" s="73" t="s">
        <v>62</v>
      </c>
      <c r="B101" s="169">
        <v>1</v>
      </c>
      <c r="C101" s="83">
        <v>2</v>
      </c>
      <c r="D101" s="84"/>
      <c r="E101" s="172" t="str">
        <f>IF(ISBLANK(D101),"-",$D$110/$D$107*D101)</f>
        <v>-</v>
      </c>
      <c r="F101" s="62"/>
      <c r="G101" s="86" t="str">
        <f>IF(ISBLANK(F101),"-",$D$110/$F$107*F101)</f>
        <v>-</v>
      </c>
    </row>
    <row r="102" spans="1:7" ht="26.25" customHeight="1" x14ac:dyDescent="0.45">
      <c r="A102" s="73" t="s">
        <v>63</v>
      </c>
      <c r="B102" s="169">
        <v>1</v>
      </c>
      <c r="C102" s="83">
        <v>3</v>
      </c>
      <c r="D102" s="84"/>
      <c r="E102" s="172" t="str">
        <f>IF(ISBLANK(D102),"-",$D$110/$D$107*D102)</f>
        <v>-</v>
      </c>
      <c r="F102" s="173"/>
      <c r="G102" s="86" t="str">
        <f>IF(ISBLANK(F102),"-",$D$110/$F$107*F102)</f>
        <v>-</v>
      </c>
    </row>
    <row r="103" spans="1:7" ht="26.25" customHeight="1" x14ac:dyDescent="0.45">
      <c r="A103" s="73" t="s">
        <v>64</v>
      </c>
      <c r="B103" s="169">
        <v>1</v>
      </c>
      <c r="C103" s="87">
        <v>4</v>
      </c>
      <c r="D103" s="88"/>
      <c r="E103" s="174" t="str">
        <f>IF(ISBLANK(D103),"-",$D$110/$D$107*D103)</f>
        <v>-</v>
      </c>
      <c r="F103" s="175"/>
      <c r="G103" s="90" t="str">
        <f>IF(ISBLANK(F103),"-",$D$110/$F$107*F103)</f>
        <v>-</v>
      </c>
    </row>
    <row r="104" spans="1:7" ht="27" customHeight="1" x14ac:dyDescent="0.45">
      <c r="A104" s="73" t="s">
        <v>65</v>
      </c>
      <c r="B104" s="169">
        <v>1</v>
      </c>
      <c r="C104" s="91" t="s">
        <v>66</v>
      </c>
      <c r="D104" s="176" t="e">
        <f>AVERAGE(D100:D103)</f>
        <v>#DIV/0!</v>
      </c>
      <c r="E104" s="93" t="e">
        <f>AVERAGE(E100:E103)</f>
        <v>#DIV/0!</v>
      </c>
      <c r="F104" s="176" t="e">
        <f>AVERAGE(F100:F103)</f>
        <v>#DIV/0!</v>
      </c>
      <c r="G104" s="177" t="e">
        <f>AVERAGE(G100:G103)</f>
        <v>#DIV/0!</v>
      </c>
    </row>
    <row r="105" spans="1:7" ht="26.25" customHeight="1" x14ac:dyDescent="0.45">
      <c r="A105" s="73" t="s">
        <v>67</v>
      </c>
      <c r="B105" s="169">
        <v>1</v>
      </c>
      <c r="C105" s="95" t="s">
        <v>68</v>
      </c>
      <c r="D105" s="178"/>
      <c r="E105" s="97"/>
      <c r="F105" s="96"/>
      <c r="G105" s="50"/>
    </row>
    <row r="106" spans="1:7" ht="26.25" customHeight="1" x14ac:dyDescent="0.45">
      <c r="A106" s="73" t="s">
        <v>69</v>
      </c>
      <c r="B106" s="169">
        <v>1</v>
      </c>
      <c r="C106" s="98" t="s">
        <v>70</v>
      </c>
      <c r="D106" s="179">
        <f>D105*$B$96</f>
        <v>0</v>
      </c>
      <c r="E106" s="100"/>
      <c r="F106" s="99">
        <f>F105*$B$96</f>
        <v>0</v>
      </c>
      <c r="G106" s="50"/>
    </row>
    <row r="107" spans="1:7" ht="19.5" customHeight="1" x14ac:dyDescent="0.35">
      <c r="A107" s="73" t="s">
        <v>71</v>
      </c>
      <c r="B107" s="211">
        <f>(B106/B105)*(B104/B103)*(B102/B101)*(B100/B99)*B98</f>
        <v>1</v>
      </c>
      <c r="C107" s="98" t="s">
        <v>72</v>
      </c>
      <c r="D107" s="180">
        <f>D106*$B$91/100</f>
        <v>0</v>
      </c>
      <c r="E107" s="103"/>
      <c r="F107" s="102">
        <f>F106*$B$91/100</f>
        <v>0</v>
      </c>
      <c r="G107" s="50"/>
    </row>
    <row r="108" spans="1:7" ht="19.5" customHeight="1" x14ac:dyDescent="0.35">
      <c r="A108" s="432" t="s">
        <v>73</v>
      </c>
      <c r="B108" s="433"/>
      <c r="C108" s="98" t="s">
        <v>74</v>
      </c>
      <c r="D108" s="179">
        <f>D107/$B$107</f>
        <v>0</v>
      </c>
      <c r="E108" s="103"/>
      <c r="F108" s="104">
        <f>F107/$B$107</f>
        <v>0</v>
      </c>
      <c r="G108" s="181"/>
    </row>
    <row r="109" spans="1:7" ht="19.5" customHeight="1" x14ac:dyDescent="0.35">
      <c r="A109" s="434"/>
      <c r="B109" s="435"/>
      <c r="C109" s="229" t="s">
        <v>75</v>
      </c>
      <c r="D109" s="183">
        <f>$B$56/$B$125</f>
        <v>20</v>
      </c>
      <c r="E109" s="50"/>
      <c r="F109" s="107"/>
      <c r="G109" s="184"/>
    </row>
    <row r="110" spans="1:7" ht="18.75" customHeight="1" x14ac:dyDescent="0.35">
      <c r="A110" s="50"/>
      <c r="B110" s="50"/>
      <c r="C110" s="182" t="s">
        <v>76</v>
      </c>
      <c r="D110" s="179">
        <f>D109*$B$107</f>
        <v>20</v>
      </c>
      <c r="E110" s="50"/>
      <c r="F110" s="107"/>
      <c r="G110" s="181"/>
    </row>
    <row r="111" spans="1:7" ht="19.5" customHeight="1" x14ac:dyDescent="0.35">
      <c r="A111" s="50"/>
      <c r="B111" s="50"/>
      <c r="C111" s="185" t="s">
        <v>77</v>
      </c>
      <c r="D111" s="186">
        <f>D110/B96</f>
        <v>20</v>
      </c>
      <c r="E111" s="50"/>
      <c r="F111" s="112"/>
      <c r="G111" s="181"/>
    </row>
    <row r="112" spans="1:7" ht="18.75" customHeight="1" x14ac:dyDescent="0.35">
      <c r="A112" s="50"/>
      <c r="B112" s="50"/>
      <c r="C112" s="187" t="s">
        <v>78</v>
      </c>
      <c r="D112" s="188" t="e">
        <f>AVERAGE(E100:E103,G100:G103)</f>
        <v>#DIV/0!</v>
      </c>
      <c r="E112" s="50"/>
      <c r="F112" s="112"/>
      <c r="G112" s="189"/>
    </row>
    <row r="113" spans="1:7" ht="18.75" customHeight="1" x14ac:dyDescent="0.35">
      <c r="A113" s="50"/>
      <c r="B113" s="50"/>
      <c r="C113" s="190" t="s">
        <v>79</v>
      </c>
      <c r="D113" s="191" t="e">
        <f>STDEV(E100:E103,G100:G103)/D112</f>
        <v>#DIV/0!</v>
      </c>
      <c r="E113" s="50"/>
      <c r="F113" s="112"/>
      <c r="G113" s="181"/>
    </row>
    <row r="114" spans="1:7" ht="19.5" customHeight="1" x14ac:dyDescent="0.35">
      <c r="A114" s="50"/>
      <c r="B114" s="50"/>
      <c r="C114" s="192" t="s">
        <v>20</v>
      </c>
      <c r="D114" s="193">
        <f>COUNT(E100:E103,G100:G103)</f>
        <v>0</v>
      </c>
      <c r="E114" s="50"/>
      <c r="F114" s="112"/>
      <c r="G114" s="181"/>
    </row>
    <row r="115" spans="1:7" ht="19.5" customHeight="1" x14ac:dyDescent="0.35">
      <c r="A115" s="51"/>
      <c r="B115" s="51"/>
      <c r="C115" s="51"/>
      <c r="D115" s="51"/>
      <c r="E115" s="51"/>
      <c r="F115" s="50"/>
      <c r="G115" s="50"/>
    </row>
    <row r="116" spans="1:7" ht="26.25" customHeight="1" x14ac:dyDescent="0.45">
      <c r="A116" s="71" t="s">
        <v>104</v>
      </c>
      <c r="B116" s="166">
        <v>1</v>
      </c>
      <c r="C116" s="194" t="s">
        <v>105</v>
      </c>
      <c r="D116" s="195" t="s">
        <v>59</v>
      </c>
      <c r="E116" s="196" t="s">
        <v>106</v>
      </c>
      <c r="F116" s="197" t="s">
        <v>107</v>
      </c>
      <c r="G116" s="50"/>
    </row>
    <row r="117" spans="1:7" ht="26.25" customHeight="1" x14ac:dyDescent="0.45">
      <c r="A117" s="73" t="s">
        <v>108</v>
      </c>
      <c r="B117" s="169">
        <v>1</v>
      </c>
      <c r="C117" s="131">
        <v>1</v>
      </c>
      <c r="D117" s="198"/>
      <c r="E117" s="199" t="str">
        <f t="shared" ref="E117:E122" si="3">IF(ISBLANK(D117),"-",D117/$D$112*$D$109*$B$125)</f>
        <v>-</v>
      </c>
      <c r="F117" s="200" t="str">
        <f t="shared" ref="F117:F122" si="4">IF(ISBLANK(D117), "-", E117/$B$56)</f>
        <v>-</v>
      </c>
      <c r="G117" s="50"/>
    </row>
    <row r="118" spans="1:7" ht="26.25" customHeight="1" x14ac:dyDescent="0.45">
      <c r="A118" s="73" t="s">
        <v>109</v>
      </c>
      <c r="B118" s="169">
        <v>1</v>
      </c>
      <c r="C118" s="131">
        <v>2</v>
      </c>
      <c r="D118" s="198"/>
      <c r="E118" s="201" t="str">
        <f t="shared" si="3"/>
        <v>-</v>
      </c>
      <c r="F118" s="202" t="str">
        <f t="shared" si="4"/>
        <v>-</v>
      </c>
      <c r="G118" s="50"/>
    </row>
    <row r="119" spans="1:7" ht="26.25" customHeight="1" x14ac:dyDescent="0.45">
      <c r="A119" s="73" t="s">
        <v>110</v>
      </c>
      <c r="B119" s="169">
        <v>1</v>
      </c>
      <c r="C119" s="131">
        <v>3</v>
      </c>
      <c r="D119" s="198"/>
      <c r="E119" s="201" t="str">
        <f t="shared" si="3"/>
        <v>-</v>
      </c>
      <c r="F119" s="202" t="str">
        <f t="shared" si="4"/>
        <v>-</v>
      </c>
      <c r="G119" s="50"/>
    </row>
    <row r="120" spans="1:7" ht="26.25" customHeight="1" x14ac:dyDescent="0.45">
      <c r="A120" s="73" t="s">
        <v>111</v>
      </c>
      <c r="B120" s="169">
        <v>1</v>
      </c>
      <c r="C120" s="131">
        <v>4</v>
      </c>
      <c r="D120" s="198"/>
      <c r="E120" s="201" t="str">
        <f t="shared" si="3"/>
        <v>-</v>
      </c>
      <c r="F120" s="202" t="str">
        <f t="shared" si="4"/>
        <v>-</v>
      </c>
      <c r="G120" s="50"/>
    </row>
    <row r="121" spans="1:7" ht="26.25" customHeight="1" x14ac:dyDescent="0.45">
      <c r="A121" s="73" t="s">
        <v>112</v>
      </c>
      <c r="B121" s="169">
        <v>1</v>
      </c>
      <c r="C121" s="131">
        <v>5</v>
      </c>
      <c r="D121" s="198"/>
      <c r="E121" s="201" t="str">
        <f t="shared" si="3"/>
        <v>-</v>
      </c>
      <c r="F121" s="202" t="str">
        <f t="shared" si="4"/>
        <v>-</v>
      </c>
      <c r="G121" s="50"/>
    </row>
    <row r="122" spans="1:7" ht="26.25" customHeight="1" x14ac:dyDescent="0.45">
      <c r="A122" s="73" t="s">
        <v>113</v>
      </c>
      <c r="B122" s="169">
        <v>1</v>
      </c>
      <c r="C122" s="203">
        <v>6</v>
      </c>
      <c r="D122" s="204"/>
      <c r="E122" s="205" t="str">
        <f t="shared" si="3"/>
        <v>-</v>
      </c>
      <c r="F122" s="206" t="str">
        <f t="shared" si="4"/>
        <v>-</v>
      </c>
      <c r="G122" s="50"/>
    </row>
    <row r="123" spans="1:7" ht="26.25" customHeight="1" x14ac:dyDescent="0.45">
      <c r="A123" s="73" t="s">
        <v>114</v>
      </c>
      <c r="B123" s="169">
        <v>1</v>
      </c>
      <c r="C123" s="131"/>
      <c r="D123" s="207"/>
      <c r="E123" s="151"/>
      <c r="F123" s="134"/>
      <c r="G123" s="50"/>
    </row>
    <row r="124" spans="1:7" ht="26.25" customHeight="1" x14ac:dyDescent="0.45">
      <c r="A124" s="73" t="s">
        <v>115</v>
      </c>
      <c r="B124" s="169">
        <v>1</v>
      </c>
      <c r="C124" s="131"/>
      <c r="D124" s="208"/>
      <c r="E124" s="209" t="s">
        <v>66</v>
      </c>
      <c r="F124" s="210" t="e">
        <f>AVERAGE(F117:F122)</f>
        <v>#DIV/0!</v>
      </c>
      <c r="G124" s="50"/>
    </row>
    <row r="125" spans="1:7" ht="27" customHeight="1" x14ac:dyDescent="0.45">
      <c r="A125" s="73" t="s">
        <v>116</v>
      </c>
      <c r="B125" s="211">
        <f>(B124/B123)*(B122/B121)*(B120/B119)*(B118/B117)*B116</f>
        <v>1</v>
      </c>
      <c r="C125" s="212"/>
      <c r="D125" s="213"/>
      <c r="E125" s="109" t="s">
        <v>79</v>
      </c>
      <c r="F125" s="146" t="e">
        <f>STDEV(F117:F122)/F124</f>
        <v>#DIV/0!</v>
      </c>
      <c r="G125" s="50"/>
    </row>
    <row r="126" spans="1:7" ht="27" customHeight="1" x14ac:dyDescent="0.45">
      <c r="A126" s="432" t="s">
        <v>73</v>
      </c>
      <c r="B126" s="433"/>
      <c r="C126" s="214"/>
      <c r="D126" s="215"/>
      <c r="E126" s="216" t="s">
        <v>20</v>
      </c>
      <c r="F126" s="217">
        <f>COUNT(F117:F122)</f>
        <v>0</v>
      </c>
      <c r="G126" s="50"/>
    </row>
    <row r="127" spans="1:7" ht="19.5" customHeight="1" x14ac:dyDescent="0.35">
      <c r="A127" s="434"/>
      <c r="B127" s="435"/>
      <c r="C127" s="151"/>
      <c r="D127" s="151"/>
      <c r="E127" s="151"/>
      <c r="F127" s="207"/>
      <c r="G127" s="151"/>
    </row>
    <row r="128" spans="1:7" ht="18.75" customHeight="1" x14ac:dyDescent="0.35">
      <c r="A128" s="69"/>
      <c r="B128" s="69"/>
      <c r="C128" s="151"/>
      <c r="D128" s="151"/>
      <c r="E128" s="151"/>
      <c r="F128" s="207"/>
      <c r="G128" s="151"/>
    </row>
    <row r="129" spans="1:7" ht="18.75" customHeight="1" x14ac:dyDescent="0.35">
      <c r="A129" s="60" t="s">
        <v>90</v>
      </c>
      <c r="B129" s="153" t="s">
        <v>117</v>
      </c>
      <c r="C129" s="436" t="str">
        <f>B20</f>
        <v>Rosuvastatin (as calcium)</v>
      </c>
      <c r="D129" s="436"/>
      <c r="E129" s="154" t="s">
        <v>118</v>
      </c>
      <c r="F129" s="154"/>
      <c r="G129" s="157" t="e">
        <f>F124</f>
        <v>#DIV/0!</v>
      </c>
    </row>
    <row r="130" spans="1:7" ht="19.5" customHeight="1" x14ac:dyDescent="0.35">
      <c r="A130" s="218"/>
      <c r="B130" s="218"/>
      <c r="C130" s="219"/>
      <c r="D130" s="219"/>
      <c r="E130" s="219"/>
      <c r="F130" s="219"/>
      <c r="G130" s="219"/>
    </row>
    <row r="131" spans="1:7" ht="18.75" customHeight="1" x14ac:dyDescent="0.35">
      <c r="A131" s="50"/>
      <c r="B131" s="427" t="s">
        <v>22</v>
      </c>
      <c r="C131" s="427"/>
      <c r="D131" s="50"/>
      <c r="E131" s="220" t="s">
        <v>23</v>
      </c>
      <c r="F131" s="221"/>
      <c r="G131" s="228" t="s">
        <v>24</v>
      </c>
    </row>
    <row r="132" spans="1:7" ht="60" customHeight="1" x14ac:dyDescent="0.35">
      <c r="A132" s="222" t="s">
        <v>25</v>
      </c>
      <c r="B132" s="223"/>
      <c r="C132" s="223"/>
      <c r="D132" s="50"/>
      <c r="E132" s="223"/>
      <c r="F132" s="151"/>
      <c r="G132" s="224"/>
    </row>
    <row r="133" spans="1:7" ht="60" customHeight="1" x14ac:dyDescent="0.35">
      <c r="A133" s="222" t="s">
        <v>26</v>
      </c>
      <c r="B133" s="225"/>
      <c r="C133" s="225"/>
      <c r="D133" s="50"/>
      <c r="E133" s="225"/>
      <c r="F133" s="151"/>
      <c r="G133" s="226"/>
    </row>
    <row r="250" spans="1:1" x14ac:dyDescent="0.25">
      <c r="A250">
        <v>0</v>
      </c>
    </row>
  </sheetData>
  <sheetProtection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rintOptions horizontalCentered="1"/>
  <pageMargins left="0.7" right="0.7" top="0.75" bottom="0.75" header="0.3" footer="0.3"/>
  <pageSetup scale="38" fitToHeight="0" orientation="portrait" r:id="rId1"/>
  <headerFooter>
    <oddHeader>&amp;LVer 2&amp;CPage &amp;P of &amp;N&amp;R&amp;D &amp;T</oddHeader>
    <oddFooter>&amp;LNQCL/ADDO/014</oddFooter>
  </headerFooter>
  <rowBreaks count="1" manualBreakCount="1">
    <brk id="8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7" zoomScale="60" zoomScaleNormal="40" zoomScalePageLayoutView="50" workbookViewId="0">
      <selection activeCell="E53" sqref="E5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25" t="s">
        <v>41</v>
      </c>
      <c r="B1" s="425"/>
      <c r="C1" s="425"/>
      <c r="D1" s="425"/>
      <c r="E1" s="425"/>
      <c r="F1" s="425"/>
      <c r="G1" s="425"/>
      <c r="H1" s="425"/>
      <c r="I1" s="425"/>
    </row>
    <row r="2" spans="1:9" ht="18.75" customHeight="1" x14ac:dyDescent="0.3">
      <c r="A2" s="425"/>
      <c r="B2" s="425"/>
      <c r="C2" s="425"/>
      <c r="D2" s="425"/>
      <c r="E2" s="425"/>
      <c r="F2" s="425"/>
      <c r="G2" s="425"/>
      <c r="H2" s="425"/>
      <c r="I2" s="425"/>
    </row>
    <row r="3" spans="1:9" ht="18.75" customHeight="1" x14ac:dyDescent="0.3">
      <c r="A3" s="425"/>
      <c r="B3" s="425"/>
      <c r="C3" s="425"/>
      <c r="D3" s="425"/>
      <c r="E3" s="425"/>
      <c r="F3" s="425"/>
      <c r="G3" s="425"/>
      <c r="H3" s="425"/>
      <c r="I3" s="425"/>
    </row>
    <row r="4" spans="1:9" ht="18.75" customHeight="1" x14ac:dyDescent="0.3">
      <c r="A4" s="425"/>
      <c r="B4" s="425"/>
      <c r="C4" s="425"/>
      <c r="D4" s="425"/>
      <c r="E4" s="425"/>
      <c r="F4" s="425"/>
      <c r="G4" s="425"/>
      <c r="H4" s="425"/>
      <c r="I4" s="425"/>
    </row>
    <row r="5" spans="1:9" ht="18.75" customHeight="1" x14ac:dyDescent="0.3">
      <c r="A5" s="425"/>
      <c r="B5" s="425"/>
      <c r="C5" s="425"/>
      <c r="D5" s="425"/>
      <c r="E5" s="425"/>
      <c r="F5" s="425"/>
      <c r="G5" s="425"/>
      <c r="H5" s="425"/>
      <c r="I5" s="425"/>
    </row>
    <row r="6" spans="1:9" ht="18.75" customHeight="1" x14ac:dyDescent="0.3">
      <c r="A6" s="425"/>
      <c r="B6" s="425"/>
      <c r="C6" s="425"/>
      <c r="D6" s="425"/>
      <c r="E6" s="425"/>
      <c r="F6" s="425"/>
      <c r="G6" s="425"/>
      <c r="H6" s="425"/>
      <c r="I6" s="425"/>
    </row>
    <row r="7" spans="1:9" ht="18.75" customHeight="1" x14ac:dyDescent="0.3">
      <c r="A7" s="425"/>
      <c r="B7" s="425"/>
      <c r="C7" s="425"/>
      <c r="D7" s="425"/>
      <c r="E7" s="425"/>
      <c r="F7" s="425"/>
      <c r="G7" s="425"/>
      <c r="H7" s="425"/>
      <c r="I7" s="425"/>
    </row>
    <row r="8" spans="1:9" x14ac:dyDescent="0.3">
      <c r="A8" s="426" t="s">
        <v>42</v>
      </c>
      <c r="B8" s="426"/>
      <c r="C8" s="426"/>
      <c r="D8" s="426"/>
      <c r="E8" s="426"/>
      <c r="F8" s="426"/>
      <c r="G8" s="426"/>
      <c r="H8" s="426"/>
      <c r="I8" s="426"/>
    </row>
    <row r="9" spans="1:9" x14ac:dyDescent="0.3">
      <c r="A9" s="426"/>
      <c r="B9" s="426"/>
      <c r="C9" s="426"/>
      <c r="D9" s="426"/>
      <c r="E9" s="426"/>
      <c r="F9" s="426"/>
      <c r="G9" s="426"/>
      <c r="H9" s="426"/>
      <c r="I9" s="426"/>
    </row>
    <row r="10" spans="1:9" x14ac:dyDescent="0.3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9" x14ac:dyDescent="0.3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9" x14ac:dyDescent="0.3">
      <c r="A12" s="426"/>
      <c r="B12" s="426"/>
      <c r="C12" s="426"/>
      <c r="D12" s="426"/>
      <c r="E12" s="426"/>
      <c r="F12" s="426"/>
      <c r="G12" s="426"/>
      <c r="H12" s="426"/>
      <c r="I12" s="426"/>
    </row>
    <row r="13" spans="1:9" x14ac:dyDescent="0.3">
      <c r="A13" s="426"/>
      <c r="B13" s="426"/>
      <c r="C13" s="426"/>
      <c r="D13" s="426"/>
      <c r="E13" s="426"/>
      <c r="F13" s="426"/>
      <c r="G13" s="426"/>
      <c r="H13" s="426"/>
      <c r="I13" s="426"/>
    </row>
    <row r="14" spans="1:9" x14ac:dyDescent="0.3">
      <c r="A14" s="426"/>
      <c r="B14" s="426"/>
      <c r="C14" s="426"/>
      <c r="D14" s="426"/>
      <c r="E14" s="426"/>
      <c r="F14" s="426"/>
      <c r="G14" s="426"/>
      <c r="H14" s="426"/>
      <c r="I14" s="426"/>
    </row>
    <row r="15" spans="1:9" ht="19.5" customHeight="1" x14ac:dyDescent="0.35">
      <c r="A15" s="233"/>
    </row>
    <row r="16" spans="1:9" ht="19.5" customHeight="1" x14ac:dyDescent="0.35">
      <c r="A16" s="448" t="s">
        <v>27</v>
      </c>
      <c r="B16" s="449"/>
      <c r="C16" s="449"/>
      <c r="D16" s="449"/>
      <c r="E16" s="449"/>
      <c r="F16" s="449"/>
      <c r="G16" s="449"/>
      <c r="H16" s="451"/>
    </row>
    <row r="17" spans="1:14" ht="20.25" customHeight="1" x14ac:dyDescent="0.3">
      <c r="A17" s="452" t="s">
        <v>43</v>
      </c>
      <c r="B17" s="452"/>
      <c r="C17" s="452"/>
      <c r="D17" s="452"/>
      <c r="E17" s="452"/>
      <c r="F17" s="452"/>
      <c r="G17" s="452"/>
      <c r="H17" s="452"/>
    </row>
    <row r="18" spans="1:14" ht="26.25" customHeight="1" x14ac:dyDescent="0.5">
      <c r="A18" s="235" t="s">
        <v>29</v>
      </c>
      <c r="B18" s="467" t="s">
        <v>140</v>
      </c>
      <c r="C18" s="467"/>
      <c r="D18" s="402"/>
      <c r="E18" s="236"/>
      <c r="F18" s="237"/>
      <c r="G18" s="237"/>
      <c r="H18" s="237"/>
    </row>
    <row r="19" spans="1:14" ht="26.25" customHeight="1" x14ac:dyDescent="0.5">
      <c r="A19" s="235" t="s">
        <v>30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5">
      <c r="A20" s="235" t="s">
        <v>31</v>
      </c>
      <c r="B20" s="453" t="s">
        <v>143</v>
      </c>
      <c r="C20" s="453"/>
      <c r="D20" s="237"/>
      <c r="E20" s="237"/>
      <c r="F20" s="237"/>
      <c r="G20" s="237"/>
      <c r="H20" s="237"/>
    </row>
    <row r="21" spans="1:14" ht="26.25" customHeight="1" x14ac:dyDescent="0.5">
      <c r="A21" s="235" t="s">
        <v>32</v>
      </c>
      <c r="B21" s="453" t="s">
        <v>141</v>
      </c>
      <c r="C21" s="453"/>
      <c r="D21" s="453"/>
      <c r="E21" s="453"/>
      <c r="F21" s="453"/>
      <c r="G21" s="453"/>
      <c r="H21" s="453"/>
      <c r="I21" s="239"/>
    </row>
    <row r="22" spans="1:14" ht="26.25" customHeight="1" x14ac:dyDescent="0.5">
      <c r="A22" s="235" t="s">
        <v>33</v>
      </c>
      <c r="B22" s="240"/>
      <c r="C22" s="237"/>
      <c r="D22" s="237"/>
      <c r="E22" s="237"/>
      <c r="F22" s="237"/>
      <c r="G22" s="237"/>
      <c r="H22" s="237"/>
    </row>
    <row r="23" spans="1:14" ht="26.25" customHeight="1" x14ac:dyDescent="0.5">
      <c r="A23" s="235" t="s">
        <v>34</v>
      </c>
      <c r="B23" s="240"/>
      <c r="C23" s="237"/>
      <c r="D23" s="237"/>
      <c r="E23" s="237"/>
      <c r="F23" s="237"/>
      <c r="G23" s="237"/>
      <c r="H23" s="237"/>
    </row>
    <row r="24" spans="1:14" ht="18" x14ac:dyDescent="0.35">
      <c r="A24" s="235"/>
      <c r="B24" s="241"/>
    </row>
    <row r="25" spans="1:14" ht="18" x14ac:dyDescent="0.35">
      <c r="A25" s="242" t="s">
        <v>1</v>
      </c>
      <c r="B25" s="241"/>
    </row>
    <row r="26" spans="1:14" ht="26.25" customHeight="1" x14ac:dyDescent="0.45">
      <c r="A26" s="243" t="s">
        <v>4</v>
      </c>
      <c r="B26" s="450" t="s">
        <v>142</v>
      </c>
      <c r="C26" s="450"/>
    </row>
    <row r="27" spans="1:14" ht="26.25" customHeight="1" x14ac:dyDescent="0.5">
      <c r="A27" s="244" t="s">
        <v>44</v>
      </c>
      <c r="B27" s="442" t="s">
        <v>139</v>
      </c>
      <c r="C27" s="442"/>
    </row>
    <row r="28" spans="1:14" ht="27" customHeight="1" x14ac:dyDescent="0.45">
      <c r="A28" s="244" t="s">
        <v>6</v>
      </c>
      <c r="B28" s="245">
        <v>99.29</v>
      </c>
      <c r="H28" s="362"/>
    </row>
    <row r="29" spans="1:14" s="3" customFormat="1" ht="27" customHeight="1" x14ac:dyDescent="0.5">
      <c r="A29" s="244" t="s">
        <v>45</v>
      </c>
      <c r="B29" s="246">
        <v>0</v>
      </c>
      <c r="C29" s="443" t="s">
        <v>101</v>
      </c>
      <c r="D29" s="444"/>
      <c r="E29" s="444"/>
      <c r="F29" s="444"/>
      <c r="G29" s="445"/>
      <c r="H29" s="362"/>
      <c r="I29" s="247"/>
      <c r="J29" s="247"/>
      <c r="K29" s="247"/>
      <c r="L29" s="247"/>
    </row>
    <row r="30" spans="1:14" s="3" customFormat="1" ht="19.5" customHeight="1" x14ac:dyDescent="0.35">
      <c r="A30" s="244" t="s">
        <v>47</v>
      </c>
      <c r="B30" s="248">
        <f>B28-B29</f>
        <v>99.29</v>
      </c>
      <c r="C30" s="249"/>
      <c r="D30" s="249"/>
      <c r="E30" s="249"/>
      <c r="F30" s="249"/>
      <c r="G30" s="250"/>
      <c r="H30" s="362"/>
      <c r="I30" s="247"/>
      <c r="J30" s="247"/>
      <c r="K30" s="247"/>
      <c r="L30" s="247"/>
    </row>
    <row r="31" spans="1:14" s="3" customFormat="1" ht="27" customHeight="1" x14ac:dyDescent="0.45">
      <c r="A31" s="244" t="s">
        <v>48</v>
      </c>
      <c r="B31" s="251">
        <v>963.07799999999997</v>
      </c>
      <c r="C31" s="428" t="s">
        <v>49</v>
      </c>
      <c r="D31" s="429"/>
      <c r="E31" s="429"/>
      <c r="F31" s="429"/>
      <c r="G31" s="429"/>
      <c r="H31" s="446"/>
      <c r="I31" s="247"/>
      <c r="J31" s="247"/>
      <c r="K31" s="247"/>
      <c r="L31" s="247"/>
    </row>
    <row r="32" spans="1:14" s="3" customFormat="1" ht="27" customHeight="1" x14ac:dyDescent="0.45">
      <c r="A32" s="244" t="s">
        <v>50</v>
      </c>
      <c r="B32" s="251">
        <v>1001.14</v>
      </c>
      <c r="C32" s="428" t="s">
        <v>51</v>
      </c>
      <c r="D32" s="429"/>
      <c r="E32" s="429"/>
      <c r="F32" s="429"/>
      <c r="G32" s="429"/>
      <c r="H32" s="446"/>
      <c r="I32" s="247"/>
      <c r="J32" s="247"/>
      <c r="K32" s="247"/>
      <c r="L32" s="252"/>
      <c r="M32" s="252"/>
      <c r="N32" s="253"/>
    </row>
    <row r="33" spans="1:14" s="3" customFormat="1" ht="17.25" customHeight="1" x14ac:dyDescent="0.35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" x14ac:dyDescent="0.35">
      <c r="A34" s="244" t="s">
        <v>52</v>
      </c>
      <c r="B34" s="256">
        <f>B31/B32</f>
        <v>0.96198134127095114</v>
      </c>
      <c r="C34" s="234" t="s">
        <v>53</v>
      </c>
      <c r="D34" s="234"/>
      <c r="E34" s="234"/>
      <c r="F34" s="234"/>
      <c r="G34" s="234"/>
      <c r="H34" s="362"/>
      <c r="I34" s="247"/>
      <c r="J34" s="247"/>
      <c r="K34" s="247"/>
      <c r="L34" s="252"/>
      <c r="M34" s="252"/>
      <c r="N34" s="253"/>
    </row>
    <row r="35" spans="1:14" s="3" customFormat="1" ht="19.5" customHeight="1" x14ac:dyDescent="0.35">
      <c r="A35" s="244"/>
      <c r="B35" s="248"/>
      <c r="G35" s="234"/>
      <c r="H35" s="362"/>
      <c r="I35" s="247"/>
      <c r="J35" s="247"/>
      <c r="K35" s="247"/>
      <c r="L35" s="252"/>
      <c r="M35" s="252"/>
      <c r="N35" s="253"/>
    </row>
    <row r="36" spans="1:14" s="3" customFormat="1" ht="27" customHeight="1" x14ac:dyDescent="0.45">
      <c r="A36" s="257" t="s">
        <v>119</v>
      </c>
      <c r="B36" s="258">
        <v>50</v>
      </c>
      <c r="C36" s="234"/>
      <c r="D36" s="430" t="s">
        <v>55</v>
      </c>
      <c r="E36" s="447"/>
      <c r="F36" s="430" t="s">
        <v>56</v>
      </c>
      <c r="G36" s="431"/>
      <c r="H36" s="362"/>
      <c r="J36" s="247"/>
      <c r="K36" s="247"/>
      <c r="L36" s="252"/>
      <c r="M36" s="252"/>
      <c r="N36" s="253"/>
    </row>
    <row r="37" spans="1:14" s="3" customFormat="1" ht="27" customHeight="1" x14ac:dyDescent="0.45">
      <c r="A37" s="259" t="s">
        <v>57</v>
      </c>
      <c r="B37" s="260">
        <v>5</v>
      </c>
      <c r="C37" s="261" t="s">
        <v>58</v>
      </c>
      <c r="D37" s="262" t="s">
        <v>59</v>
      </c>
      <c r="E37" s="263" t="s">
        <v>60</v>
      </c>
      <c r="F37" s="262" t="s">
        <v>59</v>
      </c>
      <c r="G37" s="264" t="s">
        <v>60</v>
      </c>
      <c r="H37" s="362"/>
      <c r="I37" s="265" t="s">
        <v>120</v>
      </c>
      <c r="J37" s="247"/>
      <c r="K37" s="247"/>
      <c r="L37" s="252"/>
      <c r="M37" s="252"/>
      <c r="N37" s="253"/>
    </row>
    <row r="38" spans="1:14" s="3" customFormat="1" ht="26.25" customHeight="1" x14ac:dyDescent="0.45">
      <c r="A38" s="259" t="s">
        <v>61</v>
      </c>
      <c r="B38" s="260">
        <v>50</v>
      </c>
      <c r="C38" s="266">
        <v>1</v>
      </c>
      <c r="D38" s="267">
        <v>36750378</v>
      </c>
      <c r="E38" s="268">
        <f>IF(ISBLANK(D38),"-",$D$48/$D$45*D38)</f>
        <v>36518580.617959835</v>
      </c>
      <c r="F38" s="267">
        <v>40968896</v>
      </c>
      <c r="G38" s="269">
        <f>IF(ISBLANK(F38),"-",$D$48/$F$45*F38)</f>
        <v>37890965.792538911</v>
      </c>
      <c r="H38" s="362"/>
      <c r="I38" s="270"/>
      <c r="J38" s="247"/>
      <c r="K38" s="247"/>
      <c r="L38" s="252"/>
      <c r="M38" s="252"/>
      <c r="N38" s="253"/>
    </row>
    <row r="39" spans="1:14" s="3" customFormat="1" ht="26.25" customHeight="1" x14ac:dyDescent="0.45">
      <c r="A39" s="259" t="s">
        <v>62</v>
      </c>
      <c r="B39" s="260">
        <v>1</v>
      </c>
      <c r="C39" s="271">
        <v>2</v>
      </c>
      <c r="D39" s="272">
        <v>36853579</v>
      </c>
      <c r="E39" s="273">
        <f>IF(ISBLANK(D39),"-",$D$48/$D$45*D39)</f>
        <v>36621130.693454407</v>
      </c>
      <c r="F39" s="272">
        <v>40896119</v>
      </c>
      <c r="G39" s="274">
        <f>IF(ISBLANK(F39),"-",$D$48/$F$45*F39)</f>
        <v>37823656.4167265</v>
      </c>
      <c r="H39" s="362"/>
      <c r="I39" s="454">
        <f>ABS((F43/D43*D42)-F42)/D42</f>
        <v>3.7920212894572786E-2</v>
      </c>
      <c r="J39" s="247"/>
      <c r="K39" s="247"/>
      <c r="L39" s="252"/>
      <c r="M39" s="252"/>
      <c r="N39" s="253"/>
    </row>
    <row r="40" spans="1:14" ht="26.25" customHeight="1" x14ac:dyDescent="0.45">
      <c r="A40" s="259" t="s">
        <v>63</v>
      </c>
      <c r="B40" s="260">
        <v>1</v>
      </c>
      <c r="C40" s="271">
        <v>3</v>
      </c>
      <c r="D40" s="272">
        <v>36792534</v>
      </c>
      <c r="E40" s="273">
        <f>IF(ISBLANK(D40),"-",$D$48/$D$45*D40)</f>
        <v>36560470.725444734</v>
      </c>
      <c r="F40" s="272"/>
      <c r="G40" s="274" t="str">
        <f>IF(ISBLANK(F40),"-",$D$48/$F$45*F40)</f>
        <v>-</v>
      </c>
      <c r="I40" s="454"/>
      <c r="L40" s="252"/>
      <c r="M40" s="252"/>
      <c r="N40" s="275"/>
    </row>
    <row r="41" spans="1:14" ht="27" customHeight="1" x14ac:dyDescent="0.45">
      <c r="A41" s="259" t="s">
        <v>64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5">
      <c r="A42" s="259" t="s">
        <v>65</v>
      </c>
      <c r="B42" s="260">
        <v>1</v>
      </c>
      <c r="C42" s="281" t="s">
        <v>66</v>
      </c>
      <c r="D42" s="282">
        <f>AVERAGE(D38:D41)</f>
        <v>36798830.333333336</v>
      </c>
      <c r="E42" s="283">
        <f>AVERAGE(E38:E41)</f>
        <v>36566727.345619656</v>
      </c>
      <c r="F42" s="282">
        <f>AVERAGE(F38:F41)</f>
        <v>40932507.5</v>
      </c>
      <c r="G42" s="284">
        <f>AVERAGE(G38:G41)</f>
        <v>37857311.104632705</v>
      </c>
      <c r="H42" s="285"/>
    </row>
    <row r="43" spans="1:14" ht="26.25" customHeight="1" x14ac:dyDescent="0.45">
      <c r="A43" s="259" t="s">
        <v>67</v>
      </c>
      <c r="B43" s="260">
        <v>1</v>
      </c>
      <c r="C43" s="286" t="s">
        <v>121</v>
      </c>
      <c r="D43" s="287">
        <v>26.34</v>
      </c>
      <c r="E43" s="275"/>
      <c r="F43" s="287">
        <v>28.3</v>
      </c>
      <c r="H43" s="285"/>
    </row>
    <row r="44" spans="1:14" ht="26.25" customHeight="1" x14ac:dyDescent="0.45">
      <c r="A44" s="259" t="s">
        <v>69</v>
      </c>
      <c r="B44" s="260">
        <v>1</v>
      </c>
      <c r="C44" s="288" t="s">
        <v>122</v>
      </c>
      <c r="D44" s="289">
        <f>D43*$B$34</f>
        <v>25.338588529076851</v>
      </c>
      <c r="E44" s="290"/>
      <c r="F44" s="289">
        <f>F43*$B$34</f>
        <v>27.224071957967919</v>
      </c>
      <c r="H44" s="285"/>
    </row>
    <row r="45" spans="1:14" ht="19.5" customHeight="1" x14ac:dyDescent="0.35">
      <c r="A45" s="259" t="s">
        <v>71</v>
      </c>
      <c r="B45" s="291">
        <f>(B44/B43)*(B42/B41)*(B40/B39)*(B38/B37)*B36</f>
        <v>500</v>
      </c>
      <c r="C45" s="288" t="s">
        <v>72</v>
      </c>
      <c r="D45" s="292">
        <f>D44*$B$30/100</f>
        <v>25.158684550520405</v>
      </c>
      <c r="E45" s="293"/>
      <c r="F45" s="292">
        <f>F44*$B$30/100</f>
        <v>27.030781047066348</v>
      </c>
      <c r="H45" s="285"/>
    </row>
    <row r="46" spans="1:14" ht="19.5" customHeight="1" x14ac:dyDescent="0.35">
      <c r="A46" s="432" t="s">
        <v>73</v>
      </c>
      <c r="B46" s="433"/>
      <c r="C46" s="288" t="s">
        <v>74</v>
      </c>
      <c r="D46" s="294">
        <f>D45/$B$45</f>
        <v>5.0317369101040808E-2</v>
      </c>
      <c r="E46" s="295"/>
      <c r="F46" s="296">
        <f>F45/$B$45</f>
        <v>5.4061562094132695E-2</v>
      </c>
      <c r="H46" s="285"/>
    </row>
    <row r="47" spans="1:14" ht="27" customHeight="1" x14ac:dyDescent="0.45">
      <c r="A47" s="434"/>
      <c r="B47" s="435"/>
      <c r="C47" s="297" t="s">
        <v>123</v>
      </c>
      <c r="D47" s="298">
        <v>0.05</v>
      </c>
      <c r="E47" s="299"/>
      <c r="F47" s="295"/>
      <c r="H47" s="285"/>
    </row>
    <row r="48" spans="1:14" ht="18" x14ac:dyDescent="0.35">
      <c r="C48" s="300" t="s">
        <v>76</v>
      </c>
      <c r="D48" s="292">
        <f>D47*$B$45</f>
        <v>25</v>
      </c>
      <c r="F48" s="301"/>
      <c r="H48" s="285"/>
    </row>
    <row r="49" spans="1:12" ht="19.5" customHeight="1" x14ac:dyDescent="0.35">
      <c r="C49" s="302" t="s">
        <v>77</v>
      </c>
      <c r="D49" s="303">
        <f>D48/B34</f>
        <v>25.988030045333815</v>
      </c>
      <c r="F49" s="301"/>
      <c r="H49" s="285"/>
    </row>
    <row r="50" spans="1:12" ht="18" x14ac:dyDescent="0.35">
      <c r="C50" s="257" t="s">
        <v>78</v>
      </c>
      <c r="D50" s="304">
        <f>AVERAGE(E38:E41,G38:G41)</f>
        <v>37082960.84922488</v>
      </c>
      <c r="F50" s="305"/>
      <c r="H50" s="285"/>
    </row>
    <row r="51" spans="1:12" ht="18" x14ac:dyDescent="0.35">
      <c r="C51" s="259" t="s">
        <v>79</v>
      </c>
      <c r="D51" s="306">
        <f>STDEV(E38:E41,G38:G41)/D50</f>
        <v>1.9098295926654081E-2</v>
      </c>
      <c r="F51" s="305"/>
      <c r="H51" s="285"/>
    </row>
    <row r="52" spans="1:12" ht="19.5" customHeight="1" x14ac:dyDescent="0.35">
      <c r="C52" s="307" t="s">
        <v>20</v>
      </c>
      <c r="D52" s="308">
        <f>COUNT(E38:E41,G38:G41)</f>
        <v>5</v>
      </c>
      <c r="F52" s="305"/>
    </row>
    <row r="54" spans="1:12" ht="18" x14ac:dyDescent="0.35">
      <c r="A54" s="309" t="s">
        <v>1</v>
      </c>
      <c r="B54" s="310" t="s">
        <v>80</v>
      </c>
    </row>
    <row r="55" spans="1:12" ht="18" x14ac:dyDescent="0.35">
      <c r="A55" s="234" t="s">
        <v>81</v>
      </c>
      <c r="B55" s="311" t="str">
        <f>B21</f>
        <v>Each tablet contains Rosuvastatin (as calcium) 20 mg</v>
      </c>
    </row>
    <row r="56" spans="1:12" ht="26.25" customHeight="1" x14ac:dyDescent="0.45">
      <c r="A56" s="312" t="s">
        <v>82</v>
      </c>
      <c r="B56" s="313">
        <v>20</v>
      </c>
      <c r="C56" s="234" t="str">
        <f>B20</f>
        <v>Rosuvastatin (as calcium)</v>
      </c>
      <c r="H56" s="314"/>
    </row>
    <row r="57" spans="1:12" ht="18" x14ac:dyDescent="0.35">
      <c r="A57" s="311" t="s">
        <v>144</v>
      </c>
      <c r="B57" s="403">
        <f>Uniformity!C46</f>
        <v>297.40499999999997</v>
      </c>
      <c r="H57" s="314"/>
    </row>
    <row r="58" spans="1:12" ht="19.5" customHeight="1" x14ac:dyDescent="0.35">
      <c r="H58" s="314"/>
    </row>
    <row r="59" spans="1:12" s="3" customFormat="1" ht="27" customHeight="1" x14ac:dyDescent="0.45">
      <c r="A59" s="257" t="s">
        <v>124</v>
      </c>
      <c r="B59" s="258">
        <v>50</v>
      </c>
      <c r="C59" s="234"/>
      <c r="D59" s="315" t="s">
        <v>125</v>
      </c>
      <c r="E59" s="316" t="s">
        <v>58</v>
      </c>
      <c r="F59" s="316" t="s">
        <v>59</v>
      </c>
      <c r="G59" s="316" t="s">
        <v>126</v>
      </c>
      <c r="H59" s="261" t="s">
        <v>127</v>
      </c>
      <c r="J59" s="362"/>
      <c r="K59" s="362"/>
      <c r="L59" s="247"/>
    </row>
    <row r="60" spans="1:12" s="3" customFormat="1" ht="26.25" customHeight="1" x14ac:dyDescent="0.45">
      <c r="A60" s="259" t="s">
        <v>128</v>
      </c>
      <c r="B60" s="260">
        <v>3</v>
      </c>
      <c r="C60" s="455" t="s">
        <v>129</v>
      </c>
      <c r="D60" s="458">
        <v>275.08</v>
      </c>
      <c r="E60" s="317">
        <v>1</v>
      </c>
      <c r="F60" s="318">
        <v>17070737</v>
      </c>
      <c r="G60" s="404">
        <f>IF(ISBLANK(F60),"-",(F60/$D$50*$D$47*$B$68)*($B$57/$D$60))</f>
        <v>20.73747507659979</v>
      </c>
      <c r="H60" s="319">
        <f t="shared" ref="H60:H71" si="0">IF(ISBLANK(F60),"-",G60/$B$56)</f>
        <v>1.0368737538299895</v>
      </c>
      <c r="J60" s="362"/>
      <c r="K60" s="362"/>
      <c r="L60" s="247"/>
    </row>
    <row r="61" spans="1:12" s="3" customFormat="1" ht="26.25" customHeight="1" x14ac:dyDescent="0.45">
      <c r="A61" s="259" t="s">
        <v>109</v>
      </c>
      <c r="B61" s="260">
        <v>50</v>
      </c>
      <c r="C61" s="456"/>
      <c r="D61" s="459"/>
      <c r="E61" s="320">
        <v>2</v>
      </c>
      <c r="F61" s="272">
        <v>17045211</v>
      </c>
      <c r="G61" s="405">
        <f>IF(ISBLANK(F61),"-",(F61/$D$50*$D$47*$B$68)*($B$57/$D$60))</f>
        <v>20.706466175882419</v>
      </c>
      <c r="H61" s="321">
        <f t="shared" si="0"/>
        <v>1.0353233087941209</v>
      </c>
      <c r="J61" s="362"/>
      <c r="K61" s="362"/>
      <c r="L61" s="247"/>
    </row>
    <row r="62" spans="1:12" s="3" customFormat="1" ht="26.25" customHeight="1" x14ac:dyDescent="0.45">
      <c r="A62" s="259" t="s">
        <v>110</v>
      </c>
      <c r="B62" s="260">
        <v>1</v>
      </c>
      <c r="C62" s="456"/>
      <c r="D62" s="459"/>
      <c r="E62" s="320">
        <v>3</v>
      </c>
      <c r="F62" s="322">
        <v>17026821</v>
      </c>
      <c r="G62" s="405">
        <f>IF(ISBLANK(F62),"-",(F62/$D$50*$D$47*$B$68)*($B$57/$D$60))</f>
        <v>20.684126064459075</v>
      </c>
      <c r="H62" s="321">
        <f t="shared" si="0"/>
        <v>1.0342063032229538</v>
      </c>
      <c r="J62" s="362"/>
      <c r="K62" s="362"/>
      <c r="L62" s="247"/>
    </row>
    <row r="63" spans="1:12" ht="27" customHeight="1" x14ac:dyDescent="0.45">
      <c r="A63" s="259" t="s">
        <v>111</v>
      </c>
      <c r="B63" s="260">
        <v>1</v>
      </c>
      <c r="C63" s="457"/>
      <c r="D63" s="460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  <c r="J63" s="362"/>
      <c r="K63" s="362"/>
    </row>
    <row r="64" spans="1:12" ht="26.25" customHeight="1" x14ac:dyDescent="0.45">
      <c r="A64" s="259" t="s">
        <v>112</v>
      </c>
      <c r="B64" s="260">
        <v>1</v>
      </c>
      <c r="C64" s="455" t="s">
        <v>130</v>
      </c>
      <c r="D64" s="458">
        <v>301.47000000000003</v>
      </c>
      <c r="E64" s="317">
        <v>1</v>
      </c>
      <c r="F64" s="318">
        <v>18895309</v>
      </c>
      <c r="G64" s="406">
        <f>IF(ISBLANK(F64),"-",(F64/$D$50*$D$47*$B$68)*($B$57/$D$64))</f>
        <v>20.944621614247449</v>
      </c>
      <c r="H64" s="325">
        <f t="shared" si="0"/>
        <v>1.0472310807123724</v>
      </c>
    </row>
    <row r="65" spans="1:8" ht="26.25" customHeight="1" x14ac:dyDescent="0.45">
      <c r="A65" s="259" t="s">
        <v>113</v>
      </c>
      <c r="B65" s="260">
        <v>1</v>
      </c>
      <c r="C65" s="456"/>
      <c r="D65" s="459"/>
      <c r="E65" s="320">
        <v>2</v>
      </c>
      <c r="F65" s="272">
        <v>18842683</v>
      </c>
      <c r="G65" s="407">
        <f>IF(ISBLANK(F65),"-",(F65/$D$50*$D$47*$B$68)*($B$57/$D$64))</f>
        <v>20.886288000488005</v>
      </c>
      <c r="H65" s="326">
        <f t="shared" si="0"/>
        <v>1.0443144000244002</v>
      </c>
    </row>
    <row r="66" spans="1:8" ht="26.25" customHeight="1" x14ac:dyDescent="0.45">
      <c r="A66" s="259" t="s">
        <v>114</v>
      </c>
      <c r="B66" s="260">
        <v>1</v>
      </c>
      <c r="C66" s="456"/>
      <c r="D66" s="459"/>
      <c r="E66" s="320">
        <v>3</v>
      </c>
      <c r="F66" s="272">
        <v>18834373</v>
      </c>
      <c r="G66" s="407">
        <f>IF(ISBLANK(F66),"-",(F66/$D$50*$D$47*$B$68)*($B$57/$D$64))</f>
        <v>20.877076729816835</v>
      </c>
      <c r="H66" s="326">
        <f t="shared" si="0"/>
        <v>1.0438538364908418</v>
      </c>
    </row>
    <row r="67" spans="1:8" ht="27" customHeight="1" x14ac:dyDescent="0.45">
      <c r="A67" s="259" t="s">
        <v>115</v>
      </c>
      <c r="B67" s="260">
        <v>1</v>
      </c>
      <c r="C67" s="457"/>
      <c r="D67" s="460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5">
      <c r="A68" s="259" t="s">
        <v>116</v>
      </c>
      <c r="B68" s="328">
        <f>(B67/B66)*(B65/B64)*(B63/B62)*(B61/B60)*B59</f>
        <v>833.33333333333337</v>
      </c>
      <c r="C68" s="455" t="s">
        <v>131</v>
      </c>
      <c r="D68" s="458">
        <v>355.96</v>
      </c>
      <c r="E68" s="317">
        <v>1</v>
      </c>
      <c r="F68" s="318">
        <v>22277285</v>
      </c>
      <c r="G68" s="406">
        <f>IF(ISBLANK(F68),"-",(F68/$D$50*$D$47*$B$68)*($B$57/$D$68))</f>
        <v>20.913353775337097</v>
      </c>
      <c r="H68" s="321">
        <f t="shared" si="0"/>
        <v>1.0456676887668548</v>
      </c>
    </row>
    <row r="69" spans="1:8" ht="27" customHeight="1" x14ac:dyDescent="0.5">
      <c r="A69" s="307" t="s">
        <v>132</v>
      </c>
      <c r="B69" s="329">
        <f>(D47*B68)/B56*B57</f>
        <v>619.59375</v>
      </c>
      <c r="C69" s="456"/>
      <c r="D69" s="459"/>
      <c r="E69" s="320">
        <v>2</v>
      </c>
      <c r="F69" s="272">
        <v>22396589</v>
      </c>
      <c r="G69" s="407">
        <f>IF(ISBLANK(F69),"-",(F69/$D$50*$D$47*$B$68)*($B$57/$D$68))</f>
        <v>21.025353364102639</v>
      </c>
      <c r="H69" s="321">
        <f t="shared" si="0"/>
        <v>1.0512676682051318</v>
      </c>
    </row>
    <row r="70" spans="1:8" ht="26.25" customHeight="1" x14ac:dyDescent="0.45">
      <c r="A70" s="462" t="s">
        <v>73</v>
      </c>
      <c r="B70" s="463"/>
      <c r="C70" s="456"/>
      <c r="D70" s="459"/>
      <c r="E70" s="320">
        <v>3</v>
      </c>
      <c r="F70" s="272">
        <v>22458675</v>
      </c>
      <c r="G70" s="407">
        <f>IF(ISBLANK(F70),"-",(F70/$D$50*$D$47*$B$68)*($B$57/$D$68))</f>
        <v>21.083638136349148</v>
      </c>
      <c r="H70" s="321">
        <f t="shared" si="0"/>
        <v>1.0541819068174574</v>
      </c>
    </row>
    <row r="71" spans="1:8" ht="27" customHeight="1" x14ac:dyDescent="0.45">
      <c r="A71" s="464"/>
      <c r="B71" s="465"/>
      <c r="C71" s="461"/>
      <c r="D71" s="460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66</v>
      </c>
      <c r="G72" s="413">
        <f>AVERAGE(G60:G71)</f>
        <v>20.87315543747583</v>
      </c>
      <c r="H72" s="334">
        <f>AVERAGE(H60:H71)</f>
        <v>1.0436577718737914</v>
      </c>
    </row>
    <row r="73" spans="1:8" ht="26.25" customHeight="1" x14ac:dyDescent="0.45">
      <c r="C73" s="331"/>
      <c r="D73" s="331"/>
      <c r="E73" s="331"/>
      <c r="F73" s="335" t="s">
        <v>79</v>
      </c>
      <c r="G73" s="409">
        <f>STDEV(G60:G71)/G72</f>
        <v>6.6965823075121177E-3</v>
      </c>
      <c r="H73" s="409">
        <f>STDEV(H60:H71)/H72</f>
        <v>6.6965823075120943E-3</v>
      </c>
    </row>
    <row r="74" spans="1:8" ht="27" customHeight="1" x14ac:dyDescent="0.45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5">
      <c r="A76" s="243" t="s">
        <v>133</v>
      </c>
      <c r="B76" s="339" t="s">
        <v>91</v>
      </c>
      <c r="C76" s="436" t="str">
        <f>B20</f>
        <v>Rosuvastatin (as calcium)</v>
      </c>
      <c r="D76" s="436"/>
      <c r="E76" s="340" t="s">
        <v>92</v>
      </c>
      <c r="F76" s="340"/>
      <c r="G76" s="341">
        <f>H72</f>
        <v>1.0436577718737914</v>
      </c>
      <c r="H76" s="342"/>
    </row>
    <row r="77" spans="1:8" ht="18" x14ac:dyDescent="0.35">
      <c r="A77" s="242" t="s">
        <v>99</v>
      </c>
      <c r="B77" s="242" t="s">
        <v>100</v>
      </c>
    </row>
    <row r="78" spans="1:8" ht="18" x14ac:dyDescent="0.35">
      <c r="A78" s="242"/>
      <c r="B78" s="242"/>
    </row>
    <row r="79" spans="1:8" ht="26.25" customHeight="1" x14ac:dyDescent="0.45">
      <c r="A79" s="243" t="s">
        <v>4</v>
      </c>
      <c r="B79" s="441" t="str">
        <f>B26</f>
        <v>ROSUVASTATIN CALCIUM</v>
      </c>
      <c r="C79" s="441"/>
    </row>
    <row r="80" spans="1:8" ht="26.25" customHeight="1" x14ac:dyDescent="0.45">
      <c r="A80" s="244" t="s">
        <v>44</v>
      </c>
      <c r="B80" s="441" t="str">
        <f>B27</f>
        <v>WRS R1-2</v>
      </c>
      <c r="C80" s="441"/>
    </row>
    <row r="81" spans="1:12" ht="27" customHeight="1" x14ac:dyDescent="0.45">
      <c r="A81" s="244" t="s">
        <v>6</v>
      </c>
      <c r="B81" s="343">
        <f>B28</f>
        <v>99.29</v>
      </c>
    </row>
    <row r="82" spans="1:12" s="3" customFormat="1" ht="27" customHeight="1" x14ac:dyDescent="0.5">
      <c r="A82" s="244" t="s">
        <v>45</v>
      </c>
      <c r="B82" s="246">
        <v>0</v>
      </c>
      <c r="C82" s="443" t="s">
        <v>101</v>
      </c>
      <c r="D82" s="444"/>
      <c r="E82" s="444"/>
      <c r="F82" s="444"/>
      <c r="G82" s="445"/>
      <c r="H82" s="362"/>
      <c r="I82" s="247"/>
      <c r="J82" s="247"/>
      <c r="K82" s="247"/>
      <c r="L82" s="247"/>
    </row>
    <row r="83" spans="1:12" s="3" customFormat="1" ht="19.5" customHeight="1" x14ac:dyDescent="0.35">
      <c r="A83" s="244" t="s">
        <v>47</v>
      </c>
      <c r="B83" s="248">
        <f>B81-B82</f>
        <v>99.29</v>
      </c>
      <c r="C83" s="249"/>
      <c r="D83" s="249"/>
      <c r="E83" s="249"/>
      <c r="F83" s="249"/>
      <c r="G83" s="250"/>
      <c r="H83" s="362"/>
      <c r="I83" s="247"/>
      <c r="J83" s="247"/>
      <c r="K83" s="247"/>
      <c r="L83" s="247"/>
    </row>
    <row r="84" spans="1:12" s="3" customFormat="1" ht="27" customHeight="1" x14ac:dyDescent="0.45">
      <c r="A84" s="244" t="s">
        <v>48</v>
      </c>
      <c r="B84" s="251">
        <v>963.07799999999997</v>
      </c>
      <c r="C84" s="428" t="s">
        <v>134</v>
      </c>
      <c r="D84" s="429"/>
      <c r="E84" s="429"/>
      <c r="F84" s="429"/>
      <c r="G84" s="429"/>
      <c r="H84" s="446"/>
      <c r="I84" s="247"/>
      <c r="J84" s="247"/>
      <c r="K84" s="247"/>
      <c r="L84" s="247"/>
    </row>
    <row r="85" spans="1:12" s="3" customFormat="1" ht="27" customHeight="1" x14ac:dyDescent="0.45">
      <c r="A85" s="244" t="s">
        <v>50</v>
      </c>
      <c r="B85" s="251">
        <v>1001.14</v>
      </c>
      <c r="C85" s="428" t="s">
        <v>135</v>
      </c>
      <c r="D85" s="429"/>
      <c r="E85" s="429"/>
      <c r="F85" s="429"/>
      <c r="G85" s="429"/>
      <c r="H85" s="446"/>
      <c r="I85" s="247"/>
      <c r="J85" s="247"/>
      <c r="K85" s="247"/>
      <c r="L85" s="247"/>
    </row>
    <row r="86" spans="1:12" s="3" customFormat="1" ht="18" x14ac:dyDescent="0.35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" x14ac:dyDescent="0.35">
      <c r="A87" s="244" t="s">
        <v>52</v>
      </c>
      <c r="B87" s="256">
        <f>B84/B85</f>
        <v>0.96198134127095114</v>
      </c>
      <c r="C87" s="234" t="s">
        <v>53</v>
      </c>
      <c r="D87" s="234"/>
      <c r="E87" s="234"/>
      <c r="F87" s="234"/>
      <c r="G87" s="234"/>
      <c r="H87" s="362"/>
      <c r="I87" s="247"/>
      <c r="J87" s="247"/>
      <c r="K87" s="247"/>
      <c r="L87" s="247"/>
    </row>
    <row r="88" spans="1:12" ht="19.5" customHeight="1" x14ac:dyDescent="0.35">
      <c r="A88" s="242"/>
      <c r="B88" s="242"/>
    </row>
    <row r="89" spans="1:12" ht="27" customHeight="1" x14ac:dyDescent="0.45">
      <c r="A89" s="257" t="s">
        <v>119</v>
      </c>
      <c r="B89" s="258">
        <v>50</v>
      </c>
      <c r="D89" s="344" t="s">
        <v>55</v>
      </c>
      <c r="E89" s="345"/>
      <c r="F89" s="430" t="s">
        <v>56</v>
      </c>
      <c r="G89" s="431"/>
    </row>
    <row r="90" spans="1:12" ht="27" customHeight="1" x14ac:dyDescent="0.45">
      <c r="A90" s="259" t="s">
        <v>57</v>
      </c>
      <c r="B90" s="260">
        <v>2</v>
      </c>
      <c r="C90" s="346" t="s">
        <v>58</v>
      </c>
      <c r="D90" s="262" t="s">
        <v>59</v>
      </c>
      <c r="E90" s="263" t="s">
        <v>60</v>
      </c>
      <c r="F90" s="262" t="s">
        <v>59</v>
      </c>
      <c r="G90" s="347" t="s">
        <v>60</v>
      </c>
      <c r="I90" s="265" t="s">
        <v>120</v>
      </c>
    </row>
    <row r="91" spans="1:12" ht="26.25" customHeight="1" x14ac:dyDescent="0.45">
      <c r="A91" s="259" t="s">
        <v>61</v>
      </c>
      <c r="B91" s="260">
        <v>100</v>
      </c>
      <c r="C91" s="348">
        <v>1</v>
      </c>
      <c r="D91" s="267"/>
      <c r="E91" s="268" t="str">
        <f>IF(ISBLANK(D91),"-",$D$101/$D$98*D91)</f>
        <v>-</v>
      </c>
      <c r="F91" s="267">
        <v>8457754</v>
      </c>
      <c r="G91" s="269">
        <f>IF(ISBLANK(F91),"-",$D$101/$F$98*F91)</f>
        <v>8691484.3748700675</v>
      </c>
      <c r="I91" s="270"/>
    </row>
    <row r="92" spans="1:12" ht="26.25" customHeight="1" x14ac:dyDescent="0.45">
      <c r="A92" s="259" t="s">
        <v>62</v>
      </c>
      <c r="B92" s="260">
        <v>1</v>
      </c>
      <c r="C92" s="332">
        <v>2</v>
      </c>
      <c r="D92" s="272">
        <v>8090825</v>
      </c>
      <c r="E92" s="273">
        <f>IF(ISBLANK(D92),"-",$D$101/$D$98*D92)</f>
        <v>8933103.7335272785</v>
      </c>
      <c r="F92" s="272">
        <v>8662166</v>
      </c>
      <c r="G92" s="274">
        <f>IF(ISBLANK(F92),"-",$D$101/$F$98*F92)</f>
        <v>8901545.3087818287</v>
      </c>
      <c r="I92" s="454">
        <f>ABS((F96/D96*D95)-F95)/D95</f>
        <v>1.4151107774130567E-2</v>
      </c>
    </row>
    <row r="93" spans="1:12" ht="26.25" customHeight="1" x14ac:dyDescent="0.45">
      <c r="A93" s="259" t="s">
        <v>63</v>
      </c>
      <c r="B93" s="260">
        <v>1</v>
      </c>
      <c r="C93" s="332">
        <v>3</v>
      </c>
      <c r="D93" s="272">
        <v>8191047</v>
      </c>
      <c r="E93" s="273">
        <f>IF(ISBLANK(D93),"-",$D$101/$D$98*D93)</f>
        <v>9043759.1391727552</v>
      </c>
      <c r="F93" s="272">
        <v>8774617</v>
      </c>
      <c r="G93" s="274">
        <f>IF(ISBLANK(F93),"-",$D$101/$F$98*F93)</f>
        <v>9017103.8967282865</v>
      </c>
      <c r="I93" s="454"/>
    </row>
    <row r="94" spans="1:12" ht="27" customHeight="1" x14ac:dyDescent="0.45">
      <c r="A94" s="259" t="s">
        <v>64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5">
      <c r="A95" s="259" t="s">
        <v>65</v>
      </c>
      <c r="B95" s="260">
        <v>1</v>
      </c>
      <c r="C95" s="351" t="s">
        <v>66</v>
      </c>
      <c r="D95" s="352">
        <f>AVERAGE(D91:D94)</f>
        <v>8140936</v>
      </c>
      <c r="E95" s="283">
        <f>AVERAGE(E91:E94)</f>
        <v>8988431.4363500178</v>
      </c>
      <c r="F95" s="353">
        <f>AVERAGE(F91:F94)</f>
        <v>8631512.333333334</v>
      </c>
      <c r="G95" s="354">
        <f>AVERAGE(G91:G94)</f>
        <v>8870044.5267933924</v>
      </c>
    </row>
    <row r="96" spans="1:12" ht="26.25" customHeight="1" x14ac:dyDescent="0.45">
      <c r="A96" s="259" t="s">
        <v>67</v>
      </c>
      <c r="B96" s="245">
        <v>1</v>
      </c>
      <c r="C96" s="355" t="s">
        <v>68</v>
      </c>
      <c r="D96" s="356">
        <v>26.34</v>
      </c>
      <c r="E96" s="275"/>
      <c r="F96" s="287">
        <v>28.3</v>
      </c>
    </row>
    <row r="97" spans="1:10" ht="26.25" customHeight="1" x14ac:dyDescent="0.45">
      <c r="A97" s="259" t="s">
        <v>69</v>
      </c>
      <c r="B97" s="245">
        <v>1</v>
      </c>
      <c r="C97" s="357" t="s">
        <v>70</v>
      </c>
      <c r="D97" s="358">
        <f>D96*$B$87</f>
        <v>25.338588529076851</v>
      </c>
      <c r="E97" s="290"/>
      <c r="F97" s="289">
        <f>F96*$B$87</f>
        <v>27.224071957967919</v>
      </c>
    </row>
    <row r="98" spans="1:10" ht="19.5" customHeight="1" x14ac:dyDescent="0.35">
      <c r="A98" s="259" t="s">
        <v>71</v>
      </c>
      <c r="B98" s="359">
        <f>(B97/B96)*(B95/B94)*(B93/B92)*(B91/B90)*B89</f>
        <v>2500</v>
      </c>
      <c r="C98" s="357" t="s">
        <v>136</v>
      </c>
      <c r="D98" s="360">
        <f>D97*$B$83/100</f>
        <v>25.158684550520405</v>
      </c>
      <c r="E98" s="293"/>
      <c r="F98" s="292">
        <f>F97*$B$83/100</f>
        <v>27.030781047066348</v>
      </c>
    </row>
    <row r="99" spans="1:10" ht="19.5" customHeight="1" x14ac:dyDescent="0.35">
      <c r="A99" s="432" t="s">
        <v>73</v>
      </c>
      <c r="B99" s="437"/>
      <c r="C99" s="357" t="s">
        <v>137</v>
      </c>
      <c r="D99" s="361">
        <f>D98/$B$98</f>
        <v>1.0063473820208162E-2</v>
      </c>
      <c r="E99" s="293"/>
      <c r="F99" s="296">
        <f>F98/$B$98</f>
        <v>1.0812312418826539E-2</v>
      </c>
      <c r="G99" s="362"/>
      <c r="H99" s="285"/>
    </row>
    <row r="100" spans="1:10" ht="19.5" customHeight="1" x14ac:dyDescent="0.35">
      <c r="A100" s="434"/>
      <c r="B100" s="438"/>
      <c r="C100" s="357" t="s">
        <v>123</v>
      </c>
      <c r="D100" s="363">
        <f>$B$56/$B$116</f>
        <v>1.1111111111111112E-2</v>
      </c>
      <c r="F100" s="301"/>
      <c r="G100" s="364"/>
      <c r="H100" s="285"/>
    </row>
    <row r="101" spans="1:10" ht="18" x14ac:dyDescent="0.35">
      <c r="C101" s="357" t="s">
        <v>76</v>
      </c>
      <c r="D101" s="358">
        <f>D100*$B$98</f>
        <v>27.777777777777779</v>
      </c>
      <c r="F101" s="301"/>
      <c r="G101" s="362"/>
      <c r="H101" s="285"/>
    </row>
    <row r="102" spans="1:10" ht="19.5" customHeight="1" x14ac:dyDescent="0.35">
      <c r="C102" s="365" t="s">
        <v>77</v>
      </c>
      <c r="D102" s="366">
        <f>D101/B34</f>
        <v>28.875588939259796</v>
      </c>
      <c r="F102" s="305"/>
      <c r="G102" s="362"/>
      <c r="H102" s="285"/>
      <c r="J102" s="367"/>
    </row>
    <row r="103" spans="1:10" ht="18" x14ac:dyDescent="0.35">
      <c r="C103" s="368" t="s">
        <v>138</v>
      </c>
      <c r="D103" s="369">
        <f>AVERAGE(E91:E94,G91:G94)</f>
        <v>8917399.2906160429</v>
      </c>
      <c r="F103" s="305"/>
      <c r="G103" s="370"/>
      <c r="H103" s="285"/>
      <c r="J103" s="371"/>
    </row>
    <row r="104" spans="1:10" ht="18" x14ac:dyDescent="0.35">
      <c r="C104" s="335" t="s">
        <v>79</v>
      </c>
      <c r="D104" s="372">
        <f>STDEV(E91:E94,G91:G94)/D103</f>
        <v>1.5603565517998691E-2</v>
      </c>
      <c r="F104" s="305"/>
      <c r="G104" s="362"/>
      <c r="H104" s="285"/>
      <c r="J104" s="371"/>
    </row>
    <row r="105" spans="1:10" ht="19.5" customHeight="1" x14ac:dyDescent="0.35">
      <c r="C105" s="337" t="s">
        <v>20</v>
      </c>
      <c r="D105" s="373">
        <f>COUNT(E91:E94,G91:G94)</f>
        <v>5</v>
      </c>
      <c r="F105" s="305"/>
      <c r="G105" s="362"/>
      <c r="H105" s="285"/>
      <c r="J105" s="371"/>
    </row>
    <row r="106" spans="1:10" ht="19.5" customHeight="1" x14ac:dyDescent="0.35">
      <c r="A106" s="309"/>
      <c r="B106" s="309"/>
      <c r="C106" s="309"/>
      <c r="D106" s="309"/>
      <c r="E106" s="309"/>
    </row>
    <row r="107" spans="1:10" ht="26.25" customHeight="1" x14ac:dyDescent="0.45">
      <c r="A107" s="257" t="s">
        <v>104</v>
      </c>
      <c r="B107" s="258">
        <v>900</v>
      </c>
      <c r="C107" s="374" t="s">
        <v>84</v>
      </c>
      <c r="D107" s="375" t="s">
        <v>59</v>
      </c>
      <c r="E107" s="376" t="s">
        <v>106</v>
      </c>
      <c r="F107" s="377" t="s">
        <v>107</v>
      </c>
    </row>
    <row r="108" spans="1:10" ht="26.25" customHeight="1" x14ac:dyDescent="0.45">
      <c r="A108" s="259" t="s">
        <v>108</v>
      </c>
      <c r="B108" s="260">
        <v>10</v>
      </c>
      <c r="C108" s="378">
        <v>1</v>
      </c>
      <c r="D108" s="379">
        <v>7898885</v>
      </c>
      <c r="E108" s="410">
        <f t="shared" ref="E108:E113" si="1">IF(ISBLANK(D108),"-",D108/$D$103*$D$100*$B$116)</f>
        <v>17.715669653398059</v>
      </c>
      <c r="F108" s="380">
        <f t="shared" ref="F108:F113" si="2">IF(ISBLANK(D108), "-", E108/$B$56)</f>
        <v>0.88578348266990292</v>
      </c>
    </row>
    <row r="109" spans="1:10" ht="26.25" customHeight="1" x14ac:dyDescent="0.45">
      <c r="A109" s="259" t="s">
        <v>109</v>
      </c>
      <c r="B109" s="260">
        <v>20</v>
      </c>
      <c r="C109" s="378">
        <v>2</v>
      </c>
      <c r="D109" s="379">
        <v>8047517</v>
      </c>
      <c r="E109" s="411">
        <f t="shared" si="1"/>
        <v>18.049022450903511</v>
      </c>
      <c r="F109" s="381">
        <f t="shared" si="2"/>
        <v>0.90245112254517557</v>
      </c>
    </row>
    <row r="110" spans="1:10" ht="26.25" customHeight="1" x14ac:dyDescent="0.45">
      <c r="A110" s="259" t="s">
        <v>110</v>
      </c>
      <c r="B110" s="260">
        <v>1</v>
      </c>
      <c r="C110" s="378">
        <v>3</v>
      </c>
      <c r="D110" s="379">
        <v>8009441</v>
      </c>
      <c r="E110" s="411">
        <f t="shared" si="1"/>
        <v>17.963625355272573</v>
      </c>
      <c r="F110" s="381">
        <f t="shared" si="2"/>
        <v>0.89818126776362861</v>
      </c>
    </row>
    <row r="111" spans="1:10" ht="26.25" customHeight="1" x14ac:dyDescent="0.45">
      <c r="A111" s="259" t="s">
        <v>111</v>
      </c>
      <c r="B111" s="260">
        <v>1</v>
      </c>
      <c r="C111" s="378">
        <v>4</v>
      </c>
      <c r="D111" s="379">
        <v>8066998</v>
      </c>
      <c r="E111" s="411">
        <f t="shared" si="1"/>
        <v>18.092714561944227</v>
      </c>
      <c r="F111" s="381">
        <f t="shared" si="2"/>
        <v>0.90463572809721138</v>
      </c>
    </row>
    <row r="112" spans="1:10" ht="26.25" customHeight="1" x14ac:dyDescent="0.45">
      <c r="A112" s="259" t="s">
        <v>112</v>
      </c>
      <c r="B112" s="260">
        <v>1</v>
      </c>
      <c r="C112" s="378">
        <v>5</v>
      </c>
      <c r="D112" s="379">
        <v>7912146</v>
      </c>
      <c r="E112" s="411">
        <f t="shared" si="1"/>
        <v>17.745411508770523</v>
      </c>
      <c r="F112" s="381">
        <f t="shared" si="2"/>
        <v>0.88727057543852617</v>
      </c>
    </row>
    <row r="113" spans="1:10" ht="26.25" customHeight="1" x14ac:dyDescent="0.45">
      <c r="A113" s="259" t="s">
        <v>113</v>
      </c>
      <c r="B113" s="260">
        <v>1</v>
      </c>
      <c r="C113" s="382">
        <v>6</v>
      </c>
      <c r="D113" s="383">
        <v>7982759</v>
      </c>
      <c r="E113" s="412">
        <f t="shared" si="1"/>
        <v>17.903782795507244</v>
      </c>
      <c r="F113" s="384">
        <f t="shared" si="2"/>
        <v>0.89518913977536219</v>
      </c>
    </row>
    <row r="114" spans="1:10" ht="26.25" customHeight="1" x14ac:dyDescent="0.45">
      <c r="A114" s="259" t="s">
        <v>114</v>
      </c>
      <c r="B114" s="260">
        <v>1</v>
      </c>
      <c r="C114" s="378"/>
      <c r="D114" s="332"/>
      <c r="E114" s="233"/>
      <c r="F114" s="385"/>
    </row>
    <row r="115" spans="1:10" ht="26.25" customHeight="1" x14ac:dyDescent="0.45">
      <c r="A115" s="259" t="s">
        <v>115</v>
      </c>
      <c r="B115" s="260">
        <v>1</v>
      </c>
      <c r="C115" s="378"/>
      <c r="D115" s="386" t="s">
        <v>66</v>
      </c>
      <c r="E115" s="414">
        <f>AVERAGE(E108:E113)</f>
        <v>17.911704387632689</v>
      </c>
      <c r="F115" s="387">
        <f>AVERAGE(F108:F113)</f>
        <v>0.89558521938163438</v>
      </c>
    </row>
    <row r="116" spans="1:10" ht="27" customHeight="1" x14ac:dyDescent="0.45">
      <c r="A116" s="259" t="s">
        <v>116</v>
      </c>
      <c r="B116" s="291">
        <f>(B115/B114)*(B113/B112)*(B111/B110)*(B109/B108)*B107</f>
        <v>1800</v>
      </c>
      <c r="C116" s="388"/>
      <c r="D116" s="351" t="s">
        <v>79</v>
      </c>
      <c r="E116" s="389">
        <f>STDEV(E108:E113)/E115</f>
        <v>8.6657041886531849E-3</v>
      </c>
      <c r="F116" s="389">
        <f>STDEV(F108:F113)/F115</f>
        <v>8.6657041886532057E-3</v>
      </c>
      <c r="I116" s="233"/>
    </row>
    <row r="117" spans="1:10" ht="27" customHeight="1" x14ac:dyDescent="0.45">
      <c r="A117" s="432" t="s">
        <v>73</v>
      </c>
      <c r="B117" s="43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5">
      <c r="A118" s="434"/>
      <c r="B118" s="435"/>
      <c r="C118" s="233"/>
      <c r="D118" s="233"/>
      <c r="E118" s="233"/>
      <c r="F118" s="332"/>
      <c r="G118" s="233"/>
      <c r="H118" s="233"/>
      <c r="I118" s="233"/>
    </row>
    <row r="119" spans="1:10" ht="18" x14ac:dyDescent="0.35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5">
      <c r="A120" s="243" t="s">
        <v>133</v>
      </c>
      <c r="B120" s="339" t="s">
        <v>117</v>
      </c>
      <c r="C120" s="436" t="str">
        <f>B20</f>
        <v>Rosuvastatin (as calcium)</v>
      </c>
      <c r="D120" s="436"/>
      <c r="E120" s="340" t="s">
        <v>118</v>
      </c>
      <c r="F120" s="340"/>
      <c r="G120" s="341">
        <f>F115</f>
        <v>0.89558521938163438</v>
      </c>
      <c r="H120" s="233"/>
      <c r="I120" s="233"/>
    </row>
    <row r="121" spans="1:10" ht="19.5" customHeight="1" x14ac:dyDescent="0.35">
      <c r="A121" s="393"/>
      <c r="B121" s="393"/>
      <c r="C121" s="394"/>
      <c r="D121" s="394"/>
      <c r="E121" s="394"/>
      <c r="F121" s="394"/>
      <c r="G121" s="394"/>
      <c r="H121" s="394"/>
    </row>
    <row r="122" spans="1:10" ht="18" x14ac:dyDescent="0.35">
      <c r="B122" s="427" t="s">
        <v>22</v>
      </c>
      <c r="C122" s="427"/>
      <c r="E122" s="346" t="s">
        <v>23</v>
      </c>
      <c r="F122" s="395"/>
      <c r="G122" s="427" t="s">
        <v>24</v>
      </c>
      <c r="H122" s="427"/>
    </row>
    <row r="123" spans="1:10" ht="69.900000000000006" customHeight="1" x14ac:dyDescent="0.35">
      <c r="A123" s="396" t="s">
        <v>25</v>
      </c>
      <c r="B123" s="397"/>
      <c r="C123" s="397"/>
      <c r="E123" s="397"/>
      <c r="F123" s="233"/>
      <c r="G123" s="398"/>
      <c r="H123" s="398"/>
    </row>
    <row r="124" spans="1:10" ht="69.900000000000006" customHeight="1" x14ac:dyDescent="0.35">
      <c r="A124" s="396" t="s">
        <v>26</v>
      </c>
      <c r="B124" s="399"/>
      <c r="C124" s="399"/>
      <c r="E124" s="399"/>
      <c r="F124" s="233"/>
      <c r="G124" s="400"/>
      <c r="H124" s="400"/>
    </row>
    <row r="125" spans="1:10" ht="18" x14ac:dyDescent="0.35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" x14ac:dyDescent="0.35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" x14ac:dyDescent="0.35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" x14ac:dyDescent="0.35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" x14ac:dyDescent="0.35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" x14ac:dyDescent="0.35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" x14ac:dyDescent="0.35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" x14ac:dyDescent="0.35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" x14ac:dyDescent="0.35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4" fitToWidth="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Rosuvastatin</vt:lpstr>
      <vt:lpstr>Rosuvastatin 1</vt:lpstr>
      <vt:lpstr>Rosuvastatin!Print_Area</vt:lpstr>
      <vt:lpstr>'Rosuvastatin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2016-08-27T13:50:06Z</cp:lastPrinted>
  <dcterms:created xsi:type="dcterms:W3CDTF">2005-07-05T10:19:27Z</dcterms:created>
  <dcterms:modified xsi:type="dcterms:W3CDTF">2016-08-27T13:52:59Z</dcterms:modified>
</cp:coreProperties>
</file>