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2"/>
  </bookViews>
  <sheets>
    <sheet name="SST (2)" sheetId="5" r:id="rId1"/>
    <sheet name="Uniformity (2)" sheetId="4" r:id="rId2"/>
    <sheet name="Fluconazole" sheetId="3" r:id="rId3"/>
    <sheet name="Sheet3" sheetId="6" r:id="rId4"/>
  </sheets>
  <calcPr calcId="144525"/>
</workbook>
</file>

<file path=xl/calcChain.xml><?xml version="1.0" encoding="utf-8"?>
<calcChain xmlns="http://schemas.openxmlformats.org/spreadsheetml/2006/main">
  <c r="F31" i="6" l="1"/>
  <c r="B57" i="3"/>
  <c r="B53" i="5" l="1"/>
  <c r="E51" i="5"/>
  <c r="D51" i="5"/>
  <c r="C51" i="5"/>
  <c r="B51" i="5"/>
  <c r="B52" i="5" s="1"/>
  <c r="B42" i="5"/>
  <c r="B32" i="5"/>
  <c r="E30" i="5"/>
  <c r="D30" i="5"/>
  <c r="C30" i="5"/>
  <c r="B30" i="5"/>
  <c r="B31" i="5" s="1"/>
  <c r="B20" i="5"/>
  <c r="B21" i="5" s="1"/>
  <c r="D21" i="4"/>
  <c r="E21" i="4" s="1"/>
  <c r="D22" i="4"/>
  <c r="D23" i="4"/>
  <c r="E23" i="4" s="1"/>
  <c r="D24" i="4"/>
  <c r="D25" i="4"/>
  <c r="E25" i="4" s="1"/>
  <c r="D26" i="4"/>
  <c r="D27" i="4"/>
  <c r="E27" i="4" s="1"/>
  <c r="D28" i="4"/>
  <c r="D29" i="4"/>
  <c r="E29" i="4" s="1"/>
  <c r="D30" i="4"/>
  <c r="D31" i="4"/>
  <c r="D32" i="4"/>
  <c r="D33" i="4"/>
  <c r="D34" i="4"/>
  <c r="D35" i="4"/>
  <c r="D36" i="4"/>
  <c r="D37" i="4"/>
  <c r="D38" i="4"/>
  <c r="D39" i="4"/>
  <c r="D40" i="4"/>
  <c r="B42" i="4"/>
  <c r="C42" i="4"/>
  <c r="B43" i="4"/>
  <c r="C43" i="4"/>
  <c r="D43" i="4"/>
  <c r="E31" i="4" s="1"/>
  <c r="C47" i="4"/>
  <c r="D47" i="4"/>
  <c r="C48" i="4"/>
  <c r="C120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D101" i="3" l="1"/>
  <c r="D102" i="3" s="1"/>
  <c r="F44" i="3"/>
  <c r="F45" i="3" s="1"/>
  <c r="G38" i="3" s="1"/>
  <c r="D45" i="3"/>
  <c r="D46" i="3" s="1"/>
  <c r="F98" i="3"/>
  <c r="F99" i="3" s="1"/>
  <c r="I92" i="3"/>
  <c r="I39" i="3"/>
  <c r="E40" i="4"/>
  <c r="E38" i="4"/>
  <c r="E36" i="4"/>
  <c r="E34" i="4"/>
  <c r="E32" i="4"/>
  <c r="E30" i="4"/>
  <c r="E28" i="4"/>
  <c r="E26" i="4"/>
  <c r="E24" i="4"/>
  <c r="E22" i="4"/>
  <c r="D48" i="4"/>
  <c r="B47" i="4"/>
  <c r="D42" i="4"/>
  <c r="E39" i="4"/>
  <c r="E37" i="4"/>
  <c r="E35" i="4"/>
  <c r="E33" i="4"/>
  <c r="B69" i="3"/>
  <c r="D49" i="3"/>
  <c r="G41" i="3"/>
  <c r="E41" i="3"/>
  <c r="G94" i="3"/>
  <c r="D97" i="3"/>
  <c r="D98" i="3" s="1"/>
  <c r="D99" i="3" s="1"/>
  <c r="E40" i="3" l="1"/>
  <c r="F46" i="3"/>
  <c r="G40" i="3"/>
  <c r="G39" i="3"/>
  <c r="E39" i="3"/>
  <c r="D50" i="3" s="1"/>
  <c r="E38" i="3"/>
  <c r="G92" i="3"/>
  <c r="G91" i="3"/>
  <c r="G93" i="3"/>
  <c r="E91" i="3"/>
  <c r="E93" i="3"/>
  <c r="E94" i="3"/>
  <c r="E92" i="3"/>
  <c r="E95" i="3" l="1"/>
  <c r="G42" i="3"/>
  <c r="E42" i="3"/>
  <c r="D52" i="3"/>
  <c r="G95" i="3"/>
  <c r="D103" i="3"/>
  <c r="E112" i="3" s="1"/>
  <c r="F112" i="3" s="1"/>
  <c r="D105" i="3"/>
  <c r="G68" i="3"/>
  <c r="H68" i="3" s="1"/>
  <c r="G65" i="3"/>
  <c r="H65" i="3" s="1"/>
  <c r="G71" i="3"/>
  <c r="H71" i="3" s="1"/>
  <c r="G69" i="3"/>
  <c r="H69" i="3" s="1"/>
  <c r="G66" i="3"/>
  <c r="H66" i="3" s="1"/>
  <c r="G64" i="3"/>
  <c r="H64" i="3" s="1"/>
  <c r="G62" i="3"/>
  <c r="H62" i="3" s="1"/>
  <c r="G60" i="3"/>
  <c r="G67" i="3"/>
  <c r="H67" i="3" s="1"/>
  <c r="D51" i="3"/>
  <c r="G61" i="3"/>
  <c r="H61" i="3" s="1"/>
  <c r="G70" i="3"/>
  <c r="H70" i="3" s="1"/>
  <c r="G63" i="3"/>
  <c r="H63" i="3" s="1"/>
  <c r="D104" i="3" l="1"/>
  <c r="E113" i="3"/>
  <c r="F113" i="3" s="1"/>
  <c r="E108" i="3"/>
  <c r="E109" i="3"/>
  <c r="F109" i="3" s="1"/>
  <c r="E110" i="3"/>
  <c r="F110" i="3" s="1"/>
  <c r="E111" i="3"/>
  <c r="F111" i="3" s="1"/>
  <c r="H60" i="3"/>
  <c r="G74" i="3"/>
  <c r="G72" i="3"/>
  <c r="G73" i="3" s="1"/>
  <c r="E115" i="3" l="1"/>
  <c r="E116" i="3" s="1"/>
  <c r="F108" i="3"/>
  <c r="F117" i="3" s="1"/>
  <c r="E117" i="3"/>
  <c r="H74" i="3"/>
  <c r="H72" i="3"/>
  <c r="F115" i="3" l="1"/>
  <c r="F116" i="3" s="1"/>
  <c r="G76" i="3"/>
  <c r="H73" i="3"/>
  <c r="G120" i="3" l="1"/>
</calcChain>
</file>

<file path=xl/sharedStrings.xml><?xml version="1.0" encoding="utf-8"?>
<sst xmlns="http://schemas.openxmlformats.org/spreadsheetml/2006/main" count="238" uniqueCount="132">
  <si>
    <t>HPLC System Suitability Report</t>
  </si>
  <si>
    <t>Analysis Data</t>
  </si>
  <si>
    <t>Assay</t>
  </si>
  <si>
    <t>Sample(s)</t>
  </si>
  <si>
    <t>Reference Substance:</t>
  </si>
  <si>
    <t>MYDAWA FLUCONAZOLE 150 MG CAPSULES</t>
  </si>
  <si>
    <t>% age Purity:</t>
  </si>
  <si>
    <t>NDQD2016061215</t>
  </si>
  <si>
    <t>Weight (mg):</t>
  </si>
  <si>
    <t>Fluconazole USP</t>
  </si>
  <si>
    <t>Standard Conc (mg/mL):</t>
  </si>
  <si>
    <t>Each capsule contains fluconazole 150 mg</t>
  </si>
  <si>
    <t>2016-06-23 15:06:24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</si>
  <si>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</si>
  <si>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</si>
  <si>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</si>
  <si>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</si>
  <si>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</si>
  <si>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</si>
  <si>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</si>
  <si>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</si>
  <si>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</si>
  <si>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</si>
  <si>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</si>
  <si>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</si>
  <si>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</si>
  <si>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</si>
  <si>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</si>
  <si>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</si>
  <si>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</si>
  <si>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</si>
  <si>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</si>
  <si>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</si>
  <si>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</si>
  <si>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</si>
  <si>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</si>
  <si>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</si>
  <si>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</si>
  <si>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</si>
  <si>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2016-06-24 18:06:27</t>
  </si>
  <si>
    <t>Uniformity of weight</t>
  </si>
  <si>
    <t>Capsule No.</t>
  </si>
  <si>
    <t>Intact Capsule (mg)</t>
  </si>
  <si>
    <t>Empty Shell (mg)</t>
  </si>
  <si>
    <t>Capsule Content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</si>
  <si>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</si>
  <si>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</si>
  <si>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</si>
  <si>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</si>
  <si>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</si>
  <si>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</si>
  <si>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</si>
  <si>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</si>
  <si>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</si>
  <si>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</si>
  <si>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</si>
  <si>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</si>
  <si>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</si>
  <si>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</si>
  <si>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</si>
  <si>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</si>
  <si>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</si>
  <si>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</si>
  <si>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</si>
  <si>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</si>
  <si>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</si>
  <si>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</si>
  <si>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</si>
  <si>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</si>
  <si>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</si>
  <si>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</si>
  <si>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</si>
  <si>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</si>
  <si>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</si>
  <si>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</si>
  <si>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</si>
  <si>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</si>
  <si>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</si>
  <si>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</si>
  <si>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</si>
  <si>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</si>
  <si>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</si>
  <si>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</si>
  <si>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</si>
  <si>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</si>
  <si>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</si>
  <si>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</si>
  <si>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</si>
  <si>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</si>
  <si>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</si>
  <si>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</si>
  <si>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Tablet/Capsule contains</t>
  </si>
  <si>
    <t>Average Tablet/Capsule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</si>
  <si>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</si>
  <si>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</si>
  <si>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</si>
  <si>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</si>
  <si>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</si>
  <si>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</si>
  <si>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</si>
  <si>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</si>
  <si>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</si>
  <si>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</si>
  <si>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</si>
  <si>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</si>
  <si>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</si>
  <si>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</si>
  <si>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</si>
  <si>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</si>
  <si>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</si>
  <si>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</si>
  <si>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</si>
  <si>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</si>
  <si>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</si>
  <si>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</si>
  <si>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</si>
  <si>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</si>
  <si>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</si>
  <si>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</si>
  <si>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</si>
  <si>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</si>
  <si>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</si>
  <si>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</si>
  <si>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</si>
  <si>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</si>
  <si>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</si>
  <si>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</si>
  <si>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</si>
  <si>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ORAMAX 150 CAPSULES</t>
  </si>
  <si>
    <t>2016-06-23 13:15:58</t>
  </si>
  <si>
    <t>FLUCONAZOLE</t>
  </si>
  <si>
    <t>F1-3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</si>
</sst>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dd\-mmm\-yyyy"/>
    <numFmt numFmtId="168" formatCode="0.00\ &quot;mg&quot;"/>
    <numFmt numFmtId="169" formatCode="0.0000\ &quot;mg&quot;"/>
    <numFmt numFmtId="170" formatCode="dd\-mmm\-yy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b/>
      <i/>
      <sz val="10"/>
      <color rgb="FF000000"/>
      <name val="Book Antiqua"/>
    </font>
    <font>
      <b/>
      <u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24" fillId="2" borderId="0"/>
    <xf numFmtId="0" fontId="24" fillId="2" borderId="0"/>
  </cellStyleXfs>
  <cellXfs count="344">
    <xf numFmtId="0" fontId="0" fillId="2" borderId="0" xfId="0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7" fontId="14" fillId="3" borderId="0" xfId="0" applyNumberFormat="1" applyFont="1" applyFill="1" applyAlignment="1" applyProtection="1">
      <alignment horizontal="center"/>
      <protection locked="0"/>
    </xf>
    <xf numFmtId="170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33" xfId="0" applyFont="1" applyFill="1" applyBorder="1" applyAlignment="1">
      <alignment horizontal="right"/>
    </xf>
    <xf numFmtId="0" fontId="13" fillId="3" borderId="34" xfId="0" applyFont="1" applyFill="1" applyBorder="1" applyAlignment="1" applyProtection="1">
      <alignment horizontal="center"/>
      <protection locked="0"/>
    </xf>
    <xf numFmtId="0" fontId="11" fillId="2" borderId="35" xfId="0" applyFont="1" applyFill="1" applyBorder="1" applyAlignment="1">
      <alignment horizontal="right"/>
    </xf>
    <xf numFmtId="0" fontId="13" fillId="3" borderId="36" xfId="0" applyFont="1" applyFill="1" applyBorder="1" applyAlignment="1" applyProtection="1">
      <alignment horizontal="center"/>
      <protection locked="0"/>
    </xf>
    <xf numFmtId="0" fontId="12" fillId="2" borderId="34" xfId="0" applyFont="1" applyFill="1" applyBorder="1" applyAlignment="1">
      <alignment horizontal="center"/>
    </xf>
    <xf numFmtId="0" fontId="12" fillId="2" borderId="37" xfId="0" applyFont="1" applyFill="1" applyBorder="1" applyAlignment="1">
      <alignment horizontal="center"/>
    </xf>
    <xf numFmtId="0" fontId="12" fillId="2" borderId="38" xfId="0" applyFont="1" applyFill="1" applyBorder="1" applyAlignment="1">
      <alignment horizontal="center"/>
    </xf>
    <xf numFmtId="0" fontId="12" fillId="2" borderId="39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3" fillId="3" borderId="41" xfId="0" applyFont="1" applyFill="1" applyBorder="1" applyAlignment="1" applyProtection="1">
      <alignment horizontal="center"/>
      <protection locked="0"/>
    </xf>
    <xf numFmtId="171" fontId="11" fillId="2" borderId="38" xfId="0" applyNumberFormat="1" applyFont="1" applyFill="1" applyBorder="1" applyAlignment="1">
      <alignment horizontal="center"/>
    </xf>
    <xf numFmtId="171" fontId="11" fillId="2" borderId="42" xfId="0" applyNumberFormat="1" applyFont="1" applyFill="1" applyBorder="1" applyAlignment="1">
      <alignment horizontal="center"/>
    </xf>
    <xf numFmtId="0" fontId="18" fillId="2" borderId="31" xfId="0" applyFont="1" applyFill="1" applyBorder="1"/>
    <xf numFmtId="0" fontId="11" fillId="2" borderId="36" xfId="0" applyFont="1" applyFill="1" applyBorder="1" applyAlignment="1">
      <alignment horizontal="center"/>
    </xf>
    <xf numFmtId="0" fontId="13" fillId="3" borderId="35" xfId="0" applyFont="1" applyFill="1" applyBorder="1" applyAlignment="1" applyProtection="1">
      <alignment horizontal="center"/>
      <protection locked="0"/>
    </xf>
    <xf numFmtId="171" fontId="11" fillId="2" borderId="43" xfId="0" applyNumberFormat="1" applyFont="1" applyFill="1" applyBorder="1" applyAlignment="1">
      <alignment horizontal="center"/>
    </xf>
    <xf numFmtId="171" fontId="11" fillId="2" borderId="44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15" xfId="0" applyFont="1" applyFill="1" applyBorder="1" applyAlignment="1">
      <alignment horizontal="center"/>
    </xf>
    <xf numFmtId="0" fontId="13" fillId="3" borderId="45" xfId="0" applyFont="1" applyFill="1" applyBorder="1" applyAlignment="1" applyProtection="1">
      <alignment horizontal="center"/>
      <protection locked="0"/>
    </xf>
    <xf numFmtId="171" fontId="11" fillId="2" borderId="46" xfId="0" applyNumberFormat="1" applyFont="1" applyFill="1" applyBorder="1" applyAlignment="1">
      <alignment horizontal="center"/>
    </xf>
    <xf numFmtId="171" fontId="11" fillId="2" borderId="47" xfId="0" applyNumberFormat="1" applyFont="1" applyFill="1" applyBorder="1" applyAlignment="1">
      <alignment horizontal="center"/>
    </xf>
    <xf numFmtId="0" fontId="11" fillId="2" borderId="32" xfId="0" applyFont="1" applyFill="1" applyBorder="1"/>
    <xf numFmtId="0" fontId="11" fillId="2" borderId="36" xfId="0" applyFont="1" applyFill="1" applyBorder="1" applyAlignment="1">
      <alignment horizontal="right"/>
    </xf>
    <xf numFmtId="1" fontId="12" fillId="6" borderId="25" xfId="0" applyNumberFormat="1" applyFont="1" applyFill="1" applyBorder="1" applyAlignment="1">
      <alignment horizontal="center"/>
    </xf>
    <xf numFmtId="171" fontId="12" fillId="6" borderId="48" xfId="0" applyNumberFormat="1" applyFont="1" applyFill="1" applyBorder="1" applyAlignment="1">
      <alignment horizontal="center"/>
    </xf>
    <xf numFmtId="171" fontId="12" fillId="6" borderId="4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50" xfId="0" applyFont="1" applyFill="1" applyBorder="1" applyAlignment="1">
      <alignment horizontal="right"/>
    </xf>
    <xf numFmtId="0" fontId="13" fillId="3" borderId="28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1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36" xfId="0" applyFont="1" applyFill="1" applyBorder="1" applyAlignment="1">
      <alignment horizontal="center"/>
    </xf>
    <xf numFmtId="2" fontId="11" fillId="7" borderId="17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8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166" fontId="13" fillId="3" borderId="17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41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32" xfId="0" applyFont="1" applyFill="1" applyBorder="1" applyAlignment="1">
      <alignment horizontal="right"/>
    </xf>
    <xf numFmtId="2" fontId="11" fillId="6" borderId="32" xfId="0" applyNumberFormat="1" applyFont="1" applyFill="1" applyBorder="1" applyAlignment="1">
      <alignment horizontal="center"/>
    </xf>
    <xf numFmtId="171" fontId="12" fillId="7" borderId="31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17" xfId="0" applyNumberFormat="1" applyFont="1" applyFill="1" applyBorder="1" applyAlignment="1">
      <alignment horizontal="center"/>
    </xf>
    <xf numFmtId="0" fontId="11" fillId="2" borderId="52" xfId="0" applyFont="1" applyFill="1" applyBorder="1" applyAlignment="1">
      <alignment horizontal="right"/>
    </xf>
    <xf numFmtId="0" fontId="11" fillId="7" borderId="32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31" xfId="0" applyNumberFormat="1" applyFont="1" applyFill="1" applyBorder="1" applyAlignment="1">
      <alignment horizontal="center"/>
    </xf>
    <xf numFmtId="0" fontId="12" fillId="2" borderId="31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3" fillId="3" borderId="33" xfId="0" applyFont="1" applyFill="1" applyBorder="1" applyAlignment="1" applyProtection="1">
      <alignment horizontal="center"/>
      <protection locked="0"/>
    </xf>
    <xf numFmtId="10" fontId="11" fillId="2" borderId="31" xfId="0" applyNumberFormat="1" applyFont="1" applyFill="1" applyBorder="1" applyAlignment="1">
      <alignment horizontal="center" vertical="center"/>
    </xf>
    <xf numFmtId="0" fontId="11" fillId="2" borderId="53" xfId="0" applyFont="1" applyFill="1" applyBorder="1" applyAlignment="1">
      <alignment horizontal="center"/>
    </xf>
    <xf numFmtId="10" fontId="11" fillId="2" borderId="53" xfId="0" applyNumberFormat="1" applyFont="1" applyFill="1" applyBorder="1" applyAlignment="1">
      <alignment horizontal="center" vertic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0" fontId="11" fillId="2" borderId="32" xfId="0" applyFont="1" applyFill="1" applyBorder="1" applyAlignment="1">
      <alignment horizontal="center"/>
    </xf>
    <xf numFmtId="0" fontId="13" fillId="3" borderId="52" xfId="0" applyFont="1" applyFill="1" applyBorder="1" applyAlignment="1" applyProtection="1">
      <alignment horizontal="center"/>
      <protection locked="0"/>
    </xf>
    <xf numFmtId="10" fontId="11" fillId="2" borderId="34" xfId="0" applyNumberFormat="1" applyFont="1" applyFill="1" applyBorder="1" applyAlignment="1">
      <alignment horizontal="center" vertical="center"/>
    </xf>
    <xf numFmtId="10" fontId="11" fillId="2" borderId="36" xfId="0" applyNumberFormat="1" applyFont="1" applyFill="1" applyBorder="1" applyAlignment="1">
      <alignment horizontal="center" vertical="center"/>
    </xf>
    <xf numFmtId="10" fontId="11" fillId="2" borderId="54" xfId="0" applyNumberFormat="1" applyFont="1" applyFill="1" applyBorder="1" applyAlignment="1">
      <alignment horizontal="center" vertical="center"/>
    </xf>
    <xf numFmtId="0" fontId="14" fillId="2" borderId="36" xfId="0" applyFont="1" applyFill="1" applyBorder="1" applyAlignment="1">
      <alignment horizontal="center"/>
    </xf>
    <xf numFmtId="2" fontId="14" fillId="2" borderId="54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14" xfId="0" applyFont="1" applyFill="1" applyBorder="1" applyAlignment="1">
      <alignment horizontal="right"/>
    </xf>
    <xf numFmtId="10" fontId="13" fillId="7" borderId="15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8" xfId="0" applyFont="1" applyFill="1" applyBorder="1" applyAlignment="1">
      <alignment horizontal="right"/>
    </xf>
    <xf numFmtId="0" fontId="13" fillId="7" borderId="19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20" xfId="0" applyFont="1" applyFill="1" applyBorder="1" applyAlignment="1">
      <alignment horizontal="center"/>
    </xf>
    <xf numFmtId="0" fontId="12" fillId="2" borderId="5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42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45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56" xfId="0" applyNumberFormat="1" applyFont="1" applyFill="1" applyBorder="1" applyAlignment="1">
      <alignment horizontal="center"/>
    </xf>
    <xf numFmtId="1" fontId="12" fillId="6" borderId="57" xfId="0" applyNumberFormat="1" applyFont="1" applyFill="1" applyBorder="1" applyAlignment="1">
      <alignment horizontal="center"/>
    </xf>
    <xf numFmtId="171" fontId="12" fillId="6" borderId="32" xfId="0" applyNumberFormat="1" applyFont="1" applyFill="1" applyBorder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3" xfId="0" applyFont="1" applyFill="1" applyBorder="1" applyAlignment="1" applyProtection="1">
      <alignment horizontal="center"/>
      <protection locked="0"/>
    </xf>
    <xf numFmtId="0" fontId="11" fillId="2" borderId="37" xfId="0" applyFont="1" applyFill="1" applyBorder="1" applyAlignment="1">
      <alignment horizontal="right"/>
    </xf>
    <xf numFmtId="2" fontId="11" fillId="6" borderId="39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39" xfId="0" applyNumberFormat="1" applyFont="1" applyFill="1" applyBorder="1" applyAlignment="1">
      <alignment horizontal="center"/>
    </xf>
    <xf numFmtId="166" fontId="11" fillId="6" borderId="39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39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8" xfId="0" applyFont="1" applyFill="1" applyBorder="1" applyAlignment="1">
      <alignment horizontal="right"/>
    </xf>
    <xf numFmtId="2" fontId="11" fillId="7" borderId="42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28" xfId="0" applyFont="1" applyFill="1" applyBorder="1" applyAlignment="1">
      <alignment horizontal="right"/>
    </xf>
    <xf numFmtId="171" fontId="12" fillId="7" borderId="2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17" xfId="0" applyNumberFormat="1" applyFont="1" applyFill="1" applyBorder="1" applyAlignment="1">
      <alignment horizontal="center"/>
    </xf>
    <xf numFmtId="0" fontId="12" fillId="7" borderId="18" xfId="0" applyFont="1" applyFill="1" applyBorder="1" applyAlignment="1">
      <alignment horizontal="center"/>
    </xf>
    <xf numFmtId="0" fontId="12" fillId="2" borderId="20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0" fontId="12" fillId="2" borderId="34" xfId="0" applyFont="1" applyFill="1" applyBorder="1" applyAlignment="1">
      <alignment horizontal="center" wrapText="1"/>
    </xf>
    <xf numFmtId="0" fontId="11" fillId="2" borderId="35" xfId="0" applyFont="1" applyFill="1" applyBorder="1" applyAlignment="1">
      <alignment horizontal="center"/>
    </xf>
    <xf numFmtId="1" fontId="13" fillId="3" borderId="43" xfId="0" applyNumberFormat="1" applyFont="1" applyFill="1" applyBorder="1" applyAlignment="1" applyProtection="1">
      <alignment horizontal="center"/>
      <protection locked="0"/>
    </xf>
    <xf numFmtId="10" fontId="11" fillId="2" borderId="42" xfId="0" applyNumberFormat="1" applyFont="1" applyFill="1" applyBorder="1" applyAlignment="1">
      <alignment horizontal="center"/>
    </xf>
    <xf numFmtId="10" fontId="11" fillId="2" borderId="44" xfId="0" applyNumberFormat="1" applyFont="1" applyFill="1" applyBorder="1" applyAlignment="1">
      <alignment horizontal="center"/>
    </xf>
    <xf numFmtId="0" fontId="11" fillId="2" borderId="45" xfId="0" applyFont="1" applyFill="1" applyBorder="1" applyAlignment="1">
      <alignment horizontal="center"/>
    </xf>
    <xf numFmtId="1" fontId="13" fillId="3" borderId="46" xfId="0" applyNumberFormat="1" applyFont="1" applyFill="1" applyBorder="1" applyAlignment="1" applyProtection="1">
      <alignment horizontal="center"/>
      <protection locked="0"/>
    </xf>
    <xf numFmtId="10" fontId="11" fillId="2" borderId="47" xfId="0" applyNumberFormat="1" applyFont="1" applyFill="1" applyBorder="1" applyAlignment="1">
      <alignment horizontal="center"/>
    </xf>
    <xf numFmtId="2" fontId="11" fillId="2" borderId="36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39" xfId="0" applyNumberFormat="1" applyFont="1" applyFill="1" applyBorder="1" applyAlignment="1">
      <alignment horizontal="center"/>
    </xf>
    <xf numFmtId="0" fontId="11" fillId="2" borderId="35" xfId="0" applyFont="1" applyFill="1" applyBorder="1"/>
    <xf numFmtId="10" fontId="13" fillId="6" borderId="39" xfId="0" applyNumberFormat="1" applyFont="1" applyFill="1" applyBorder="1" applyAlignment="1">
      <alignment horizontal="center"/>
    </xf>
    <xf numFmtId="0" fontId="11" fillId="2" borderId="52" xfId="0" applyFont="1" applyFill="1" applyBorder="1"/>
    <xf numFmtId="0" fontId="11" fillId="2" borderId="60" xfId="0" applyFont="1" applyFill="1" applyBorder="1" applyAlignment="1">
      <alignment horizontal="right"/>
    </xf>
    <xf numFmtId="0" fontId="13" fillId="7" borderId="18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33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53" xfId="0" applyNumberFormat="1" applyFont="1" applyFill="1" applyBorder="1" applyAlignment="1">
      <alignment horizontal="center"/>
    </xf>
    <xf numFmtId="166" fontId="11" fillId="2" borderId="32" xfId="0" applyNumberFormat="1" applyFont="1" applyFill="1" applyBorder="1" applyAlignment="1">
      <alignment horizontal="center"/>
    </xf>
    <xf numFmtId="10" fontId="13" fillId="6" borderId="16" xfId="0" applyNumberFormat="1" applyFont="1" applyFill="1" applyBorder="1" applyAlignment="1">
      <alignment horizontal="center"/>
    </xf>
    <xf numFmtId="166" fontId="11" fillId="2" borderId="38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66" fontId="11" fillId="2" borderId="46" xfId="0" applyNumberFormat="1" applyFont="1" applyFill="1" applyBorder="1" applyAlignment="1">
      <alignment horizontal="center"/>
    </xf>
    <xf numFmtId="2" fontId="13" fillId="7" borderId="15" xfId="0" applyNumberFormat="1" applyFont="1" applyFill="1" applyBorder="1" applyAlignment="1">
      <alignment horizontal="center"/>
    </xf>
    <xf numFmtId="2" fontId="13" fillId="7" borderId="39" xfId="0" applyNumberFormat="1" applyFont="1" applyFill="1" applyBorder="1" applyAlignment="1">
      <alignment horizontal="center"/>
    </xf>
    <xf numFmtId="0" fontId="14" fillId="2" borderId="0" xfId="0" applyFont="1" applyFill="1"/>
    <xf numFmtId="0" fontId="24" fillId="2" borderId="0" xfId="1" applyFill="1"/>
    <xf numFmtId="0" fontId="1" fillId="2" borderId="0" xfId="1" applyFont="1" applyFill="1"/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0" fontId="2" fillId="2" borderId="0" xfId="1" applyFont="1" applyFill="1" applyAlignment="1">
      <alignment horizontal="right"/>
    </xf>
    <xf numFmtId="0" fontId="2" fillId="2" borderId="11" xfId="1" applyFont="1" applyFill="1" applyBorder="1"/>
    <xf numFmtId="0" fontId="2" fillId="2" borderId="0" xfId="1" applyFont="1" applyFill="1"/>
    <xf numFmtId="0" fontId="1" fillId="2" borderId="11" xfId="1" applyFont="1" applyFill="1" applyBorder="1"/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10" fontId="2" fillId="2" borderId="30" xfId="1" applyNumberFormat="1" applyFont="1" applyFill="1" applyBorder="1"/>
    <xf numFmtId="0" fontId="2" fillId="2" borderId="9" xfId="1" applyFont="1" applyFill="1" applyBorder="1"/>
    <xf numFmtId="168" fontId="1" fillId="2" borderId="29" xfId="1" applyNumberFormat="1" applyFont="1" applyFill="1" applyBorder="1" applyAlignment="1">
      <alignment horizontal="center" vertical="center"/>
    </xf>
    <xf numFmtId="165" fontId="1" fillId="2" borderId="18" xfId="1" applyNumberFormat="1" applyFont="1" applyFill="1" applyBorder="1" applyAlignment="1">
      <alignment horizontal="center"/>
    </xf>
    <xf numFmtId="165" fontId="1" fillId="2" borderId="28" xfId="1" applyNumberFormat="1" applyFont="1" applyFill="1" applyBorder="1" applyAlignment="1">
      <alignment horizontal="center"/>
    </xf>
    <xf numFmtId="0" fontId="1" fillId="2" borderId="12" xfId="1" applyFont="1" applyFill="1" applyBorder="1" applyAlignment="1">
      <alignment horizontal="center" wrapText="1"/>
    </xf>
    <xf numFmtId="0" fontId="1" fillId="2" borderId="12" xfId="1" applyFont="1" applyFill="1" applyBorder="1" applyAlignment="1">
      <alignment horizontal="center" vertical="center"/>
    </xf>
    <xf numFmtId="164" fontId="2" fillId="2" borderId="0" xfId="1" applyNumberFormat="1" applyFont="1" applyFill="1"/>
    <xf numFmtId="166" fontId="1" fillId="2" borderId="27" xfId="1" applyNumberFormat="1" applyFont="1" applyFill="1" applyBorder="1" applyAlignment="1">
      <alignment horizontal="center"/>
    </xf>
    <xf numFmtId="166" fontId="1" fillId="2" borderId="26" xfId="1" applyNumberFormat="1" applyFont="1" applyFill="1" applyBorder="1" applyAlignment="1">
      <alignment horizontal="center"/>
    </xf>
    <xf numFmtId="166" fontId="1" fillId="2" borderId="25" xfId="1" applyNumberFormat="1" applyFont="1" applyFill="1" applyBorder="1" applyAlignment="1">
      <alignment horizontal="center"/>
    </xf>
    <xf numFmtId="0" fontId="2" fillId="2" borderId="24" xfId="1" applyFont="1" applyFill="1" applyBorder="1" applyAlignment="1">
      <alignment horizontal="right"/>
    </xf>
    <xf numFmtId="166" fontId="2" fillId="2" borderId="23" xfId="1" applyNumberFormat="1" applyFont="1" applyFill="1" applyBorder="1" applyAlignment="1">
      <alignment horizontal="center"/>
    </xf>
    <xf numFmtId="166" fontId="2" fillId="2" borderId="22" xfId="1" applyNumberFormat="1" applyFont="1" applyFill="1" applyBorder="1" applyAlignment="1">
      <alignment horizontal="center"/>
    </xf>
    <xf numFmtId="166" fontId="2" fillId="2" borderId="21" xfId="1" applyNumberFormat="1" applyFont="1" applyFill="1" applyBorder="1" applyAlignment="1">
      <alignment horizontal="center"/>
    </xf>
    <xf numFmtId="0" fontId="2" fillId="2" borderId="20" xfId="1" applyFont="1" applyFill="1" applyBorder="1" applyAlignment="1">
      <alignment horizontal="right"/>
    </xf>
    <xf numFmtId="2" fontId="2" fillId="2" borderId="0" xfId="1" applyNumberFormat="1" applyFont="1" applyFill="1" applyAlignment="1">
      <alignment horizontal="center"/>
    </xf>
    <xf numFmtId="10" fontId="2" fillId="2" borderId="0" xfId="1" applyNumberFormat="1" applyFont="1" applyFill="1" applyAlignment="1">
      <alignment horizontal="center"/>
    </xf>
    <xf numFmtId="10" fontId="2" fillId="2" borderId="19" xfId="1" applyNumberFormat="1" applyFont="1" applyFill="1" applyBorder="1" applyAlignment="1">
      <alignment horizontal="center"/>
    </xf>
    <xf numFmtId="2" fontId="2" fillId="2" borderId="18" xfId="1" applyNumberFormat="1" applyFont="1" applyFill="1" applyBorder="1" applyAlignment="1">
      <alignment horizontal="center"/>
    </xf>
    <xf numFmtId="2" fontId="2" fillId="3" borderId="18" xfId="1" applyNumberFormat="1" applyFont="1" applyFill="1" applyBorder="1" applyAlignment="1" applyProtection="1">
      <alignment horizontal="center"/>
      <protection locked="0"/>
    </xf>
    <xf numFmtId="2" fontId="2" fillId="3" borderId="19" xfId="1" applyNumberFormat="1" applyFont="1" applyFill="1" applyBorder="1" applyAlignment="1" applyProtection="1">
      <alignment horizontal="center" wrapText="1"/>
      <protection locked="0"/>
    </xf>
    <xf numFmtId="1" fontId="2" fillId="2" borderId="18" xfId="1" applyNumberFormat="1" applyFont="1" applyFill="1" applyBorder="1" applyAlignment="1">
      <alignment horizontal="center"/>
    </xf>
    <xf numFmtId="10" fontId="2" fillId="2" borderId="16" xfId="1" applyNumberFormat="1" applyFont="1" applyFill="1" applyBorder="1" applyAlignment="1">
      <alignment horizontal="center"/>
    </xf>
    <xf numFmtId="2" fontId="2" fillId="2" borderId="17" xfId="1" applyNumberFormat="1" applyFont="1" applyFill="1" applyBorder="1" applyAlignment="1">
      <alignment horizontal="center"/>
    </xf>
    <xf numFmtId="2" fontId="2" fillId="3" borderId="17" xfId="1" applyNumberFormat="1" applyFont="1" applyFill="1" applyBorder="1" applyAlignment="1" applyProtection="1">
      <alignment horizontal="center"/>
      <protection locked="0"/>
    </xf>
    <xf numFmtId="2" fontId="2" fillId="3" borderId="16" xfId="1" applyNumberFormat="1" applyFont="1" applyFill="1" applyBorder="1" applyAlignment="1" applyProtection="1">
      <alignment horizontal="center" wrapText="1"/>
      <protection locked="0"/>
    </xf>
    <xf numFmtId="0" fontId="2" fillId="2" borderId="17" xfId="1" applyFont="1" applyFill="1" applyBorder="1" applyAlignment="1">
      <alignment horizontal="center"/>
    </xf>
    <xf numFmtId="0" fontId="24" fillId="2" borderId="0" xfId="1" applyFill="1" applyAlignment="1">
      <alignment horizontal="right"/>
    </xf>
    <xf numFmtId="2" fontId="24" fillId="2" borderId="0" xfId="1" applyNumberFormat="1" applyFill="1"/>
    <xf numFmtId="10" fontId="24" fillId="2" borderId="0" xfId="1" applyNumberFormat="1" applyFill="1"/>
    <xf numFmtId="2" fontId="24" fillId="2" borderId="0" xfId="1" applyNumberFormat="1" applyFill="1" applyAlignment="1">
      <alignment horizontal="center"/>
    </xf>
    <xf numFmtId="164" fontId="24" fillId="2" borderId="0" xfId="1" applyNumberFormat="1" applyFill="1"/>
    <xf numFmtId="166" fontId="8" fillId="2" borderId="0" xfId="1" applyNumberFormat="1" applyFont="1" applyFill="1" applyAlignment="1">
      <alignment horizontal="center"/>
    </xf>
    <xf numFmtId="164" fontId="8" fillId="2" borderId="0" xfId="1" applyNumberFormat="1" applyFont="1" applyFill="1" applyAlignment="1">
      <alignment horizontal="center"/>
    </xf>
    <xf numFmtId="10" fontId="8" fillId="2" borderId="0" xfId="1" applyNumberFormat="1" applyFont="1" applyFill="1" applyAlignment="1">
      <alignment horizontal="center"/>
    </xf>
    <xf numFmtId="166" fontId="2" fillId="2" borderId="0" xfId="1" applyNumberFormat="1" applyFont="1" applyFill="1" applyAlignment="1">
      <alignment horizontal="center"/>
    </xf>
    <xf numFmtId="2" fontId="2" fillId="2" borderId="0" xfId="1" applyNumberFormat="1" applyFont="1" applyFill="1" applyAlignment="1">
      <alignment horizontal="center" wrapText="1"/>
    </xf>
    <xf numFmtId="0" fontId="2" fillId="2" borderId="0" xfId="1" applyFont="1" applyFill="1" applyAlignment="1">
      <alignment horizontal="center"/>
    </xf>
    <xf numFmtId="2" fontId="2" fillId="3" borderId="16" xfId="1" applyNumberFormat="1" applyFont="1" applyFill="1" applyBorder="1" applyAlignment="1" applyProtection="1">
      <alignment horizontal="center"/>
      <protection locked="0"/>
    </xf>
    <xf numFmtId="2" fontId="2" fillId="2" borderId="14" xfId="1" applyNumberFormat="1" applyFont="1" applyFill="1" applyBorder="1" applyAlignment="1">
      <alignment horizontal="center"/>
    </xf>
    <xf numFmtId="2" fontId="2" fillId="3" borderId="14" xfId="1" applyNumberFormat="1" applyFont="1" applyFill="1" applyBorder="1" applyAlignment="1" applyProtection="1">
      <alignment horizontal="center"/>
      <protection locked="0"/>
    </xf>
    <xf numFmtId="2" fontId="2" fillId="3" borderId="15" xfId="1" applyNumberFormat="1" applyFont="1" applyFill="1" applyBorder="1" applyAlignment="1" applyProtection="1">
      <alignment horizontal="center"/>
      <protection locked="0"/>
    </xf>
    <xf numFmtId="0" fontId="2" fillId="2" borderId="14" xfId="1" applyFont="1" applyFill="1" applyBorder="1" applyAlignment="1">
      <alignment horizontal="center"/>
    </xf>
    <xf numFmtId="0" fontId="1" fillId="2" borderId="13" xfId="1" applyFont="1" applyFill="1" applyBorder="1" applyAlignment="1">
      <alignment horizontal="center"/>
    </xf>
    <xf numFmtId="164" fontId="1" fillId="2" borderId="12" xfId="1" applyNumberFormat="1" applyFont="1" applyFill="1" applyBorder="1" applyAlignment="1">
      <alignment horizontal="center"/>
    </xf>
    <xf numFmtId="0" fontId="1" fillId="2" borderId="12" xfId="1" applyFont="1" applyFill="1" applyBorder="1" applyAlignment="1">
      <alignment horizontal="center"/>
    </xf>
    <xf numFmtId="164" fontId="1" fillId="2" borderId="13" xfId="1" applyNumberFormat="1" applyFont="1" applyFill="1" applyBorder="1" applyAlignment="1">
      <alignment horizontal="center"/>
    </xf>
    <xf numFmtId="0" fontId="10" fillId="2" borderId="0" xfId="1" applyFont="1" applyFill="1" applyAlignment="1">
      <alignment horizontal="left"/>
    </xf>
    <xf numFmtId="167" fontId="2" fillId="2" borderId="0" xfId="1" applyNumberFormat="1" applyFont="1" applyFill="1" applyAlignment="1">
      <alignment horizontal="center"/>
    </xf>
    <xf numFmtId="0" fontId="9" fillId="2" borderId="0" xfId="1" applyFont="1" applyFill="1" applyAlignment="1">
      <alignment horizontal="center" wrapText="1"/>
    </xf>
    <xf numFmtId="10" fontId="2" fillId="2" borderId="0" xfId="1" applyNumberFormat="1" applyFont="1" applyFill="1"/>
    <xf numFmtId="164" fontId="2" fillId="2" borderId="0" xfId="1" applyNumberFormat="1" applyFont="1" applyFill="1" applyAlignment="1">
      <alignment horizontal="center"/>
    </xf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9" xfId="2" applyFont="1" applyFill="1" applyBorder="1"/>
    <xf numFmtId="0" fontId="2" fillId="2" borderId="0" xfId="2" applyFont="1" applyFill="1" applyAlignment="1">
      <alignment horizontal="center"/>
    </xf>
    <xf numFmtId="10" fontId="2" fillId="2" borderId="9" xfId="2" applyNumberFormat="1" applyFont="1" applyFill="1" applyBorder="1"/>
    <xf numFmtId="0" fontId="24" fillId="2" borderId="0" xfId="2" applyFill="1"/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0" fontId="1" fillId="2" borderId="11" xfId="2" applyFont="1" applyFill="1" applyBorder="1"/>
    <xf numFmtId="0" fontId="2" fillId="2" borderId="11" xfId="2" applyFont="1" applyFill="1" applyBorder="1"/>
    <xf numFmtId="0" fontId="3" fillId="2" borderId="0" xfId="2" applyFont="1" applyFill="1" applyAlignment="1">
      <alignment horizontal="center"/>
    </xf>
    <xf numFmtId="0" fontId="1" fillId="2" borderId="10" xfId="2" applyFont="1" applyFill="1" applyBorder="1" applyAlignment="1">
      <alignment horizontal="center"/>
    </xf>
    <xf numFmtId="0" fontId="9" fillId="2" borderId="0" xfId="1" applyFont="1" applyFill="1" applyAlignment="1">
      <alignment horizontal="center" wrapText="1"/>
    </xf>
    <xf numFmtId="0" fontId="4" fillId="2" borderId="0" xfId="1" applyFont="1" applyFill="1" applyAlignment="1">
      <alignment horizontal="center"/>
    </xf>
    <xf numFmtId="0" fontId="1" fillId="2" borderId="0" xfId="1" applyFont="1" applyFill="1" applyAlignment="1">
      <alignment horizontal="right"/>
    </xf>
    <xf numFmtId="0" fontId="10" fillId="2" borderId="0" xfId="1" applyFont="1" applyFill="1" applyAlignment="1">
      <alignment horizontal="center"/>
    </xf>
    <xf numFmtId="169" fontId="1" fillId="2" borderId="31" xfId="1" applyNumberFormat="1" applyFont="1" applyFill="1" applyBorder="1" applyAlignment="1">
      <alignment horizontal="center" vertical="center"/>
    </xf>
    <xf numFmtId="169" fontId="1" fillId="2" borderId="32" xfId="1" applyNumberFormat="1" applyFont="1" applyFill="1" applyBorder="1" applyAlignment="1">
      <alignment horizontal="center" vertical="center"/>
    </xf>
    <xf numFmtId="0" fontId="1" fillId="2" borderId="10" xfId="1" applyFont="1" applyFill="1" applyBorder="1" applyAlignment="1">
      <alignment horizontal="center"/>
    </xf>
    <xf numFmtId="0" fontId="2" fillId="2" borderId="0" xfId="1" applyFont="1" applyFill="1" applyAlignment="1">
      <alignment horizontal="left" wrapText="1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33" xfId="0" applyFont="1" applyFill="1" applyBorder="1" applyAlignment="1">
      <alignment horizontal="left" vertical="center" wrapText="1"/>
    </xf>
    <xf numFmtId="0" fontId="19" fillId="2" borderId="34" xfId="0" applyFont="1" applyFill="1" applyBorder="1" applyAlignment="1">
      <alignment horizontal="left" vertical="center" wrapText="1"/>
    </xf>
    <xf numFmtId="0" fontId="19" fillId="2" borderId="52" xfId="0" applyFont="1" applyFill="1" applyBorder="1" applyAlignment="1">
      <alignment horizontal="left" vertical="center" wrapText="1"/>
    </xf>
    <xf numFmtId="0" fontId="19" fillId="2" borderId="5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61" xfId="0" applyFont="1" applyFill="1" applyBorder="1" applyAlignment="1">
      <alignment horizontal="justify" vertical="center" wrapText="1"/>
    </xf>
    <xf numFmtId="0" fontId="19" fillId="2" borderId="30" xfId="0" applyFont="1" applyFill="1" applyBorder="1" applyAlignment="1">
      <alignment horizontal="justify" vertical="center" wrapText="1"/>
    </xf>
    <xf numFmtId="0" fontId="19" fillId="2" borderId="13" xfId="0" applyFont="1" applyFill="1" applyBorder="1" applyAlignment="1">
      <alignment horizontal="justify" vertical="center" wrapText="1"/>
    </xf>
    <xf numFmtId="0" fontId="19" fillId="2" borderId="61" xfId="0" applyFont="1" applyFill="1" applyBorder="1" applyAlignment="1">
      <alignment horizontal="left" vertical="center" wrapText="1"/>
    </xf>
    <xf numFmtId="0" fontId="19" fillId="2" borderId="30" xfId="0" applyFont="1" applyFill="1" applyBorder="1" applyAlignment="1">
      <alignment horizontal="left" vertical="center" wrapText="1"/>
    </xf>
    <xf numFmtId="0" fontId="19" fillId="2" borderId="13" xfId="0" applyFont="1" applyFill="1" applyBorder="1" applyAlignment="1">
      <alignment horizontal="left" vertical="center" wrapText="1"/>
    </xf>
    <xf numFmtId="0" fontId="12" fillId="2" borderId="20" xfId="0" applyFont="1" applyFill="1" applyBorder="1" applyAlignment="1">
      <alignment horizontal="center"/>
    </xf>
    <xf numFmtId="0" fontId="12" fillId="2" borderId="29" xfId="0" applyFont="1" applyFill="1" applyBorder="1" applyAlignment="1">
      <alignment horizontal="center"/>
    </xf>
    <xf numFmtId="10" fontId="15" fillId="2" borderId="53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52" xfId="0" applyFont="1" applyFill="1" applyBorder="1" applyAlignment="1">
      <alignment horizontal="center" vertical="center"/>
    </xf>
    <xf numFmtId="2" fontId="13" fillId="3" borderId="31" xfId="0" applyNumberFormat="1" applyFont="1" applyFill="1" applyBorder="1" applyAlignment="1" applyProtection="1">
      <alignment horizontal="center" vertical="center"/>
      <protection locked="0"/>
    </xf>
    <xf numFmtId="2" fontId="13" fillId="3" borderId="53" xfId="0" applyNumberFormat="1" applyFont="1" applyFill="1" applyBorder="1" applyAlignment="1" applyProtection="1">
      <alignment horizontal="center" vertical="center"/>
      <protection locked="0"/>
    </xf>
    <xf numFmtId="2" fontId="13" fillId="3" borderId="32" xfId="0" applyNumberFormat="1" applyFont="1" applyFill="1" applyBorder="1" applyAlignment="1" applyProtection="1">
      <alignment horizontal="center" vertical="center"/>
      <protection locked="0"/>
    </xf>
    <xf numFmtId="0" fontId="19" fillId="2" borderId="33" xfId="0" applyFont="1" applyFill="1" applyBorder="1" applyAlignment="1">
      <alignment horizontal="center" vertical="center" wrapText="1"/>
    </xf>
    <xf numFmtId="0" fontId="19" fillId="2" borderId="34" xfId="0" applyFont="1" applyFill="1" applyBorder="1" applyAlignment="1">
      <alignment horizontal="center" vertical="center" wrapText="1"/>
    </xf>
    <xf numFmtId="0" fontId="19" fillId="2" borderId="52" xfId="0" applyFont="1" applyFill="1" applyBorder="1" applyAlignment="1">
      <alignment horizontal="center" vertical="center" wrapText="1"/>
    </xf>
    <xf numFmtId="0" fontId="19" fillId="2" borderId="5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5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61" xfId="0" applyFont="1" applyFill="1" applyBorder="1" applyAlignment="1">
      <alignment horizontal="center"/>
    </xf>
    <xf numFmtId="0" fontId="19" fillId="2" borderId="30" xfId="0" applyFont="1" applyFill="1" applyBorder="1" applyAlignment="1">
      <alignment horizontal="center"/>
    </xf>
    <xf numFmtId="0" fontId="19" fillId="2" borderId="13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</cellXfs>
  <cellStyles count="3">
    <cellStyle name="Normal" xfId="0" builtinId="0"/>
    <cellStyle name="Normal 2" xfId="1"/>
    <cellStyle name="Normal 3" xfId="2"/>
  </cellStyles>
  <dxfs count="2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22" workbookViewId="0">
      <selection activeCell="C41" sqref="C41"/>
    </sheetView>
  </sheetViews>
  <sheetFormatPr defaultRowHeight="13.5" x14ac:dyDescent="0.25"/>
  <cols>
    <col min="1" max="1" width="27.5703125" style="252" customWidth="1"/>
    <col min="2" max="2" width="20.42578125" style="252" customWidth="1"/>
    <col min="3" max="3" width="31.85546875" style="252" customWidth="1"/>
    <col min="4" max="4" width="25.85546875" style="252" customWidth="1"/>
    <col min="5" max="5" width="25.7109375" style="252" customWidth="1"/>
    <col min="6" max="6" width="23.140625" style="252" customWidth="1"/>
    <col min="7" max="7" width="28.42578125" style="252" customWidth="1"/>
    <col min="8" max="8" width="21.5703125" style="252" customWidth="1"/>
    <col min="9" max="9" width="9.140625" style="252" customWidth="1"/>
    <col min="10" max="16384" width="9.140625" style="288"/>
  </cols>
  <sheetData>
    <row r="14" spans="1:6" ht="15" customHeight="1" x14ac:dyDescent="0.3">
      <c r="A14" s="251"/>
      <c r="C14" s="253"/>
      <c r="F14" s="253"/>
    </row>
    <row r="15" spans="1:6" ht="18.75" customHeight="1" x14ac:dyDescent="0.3">
      <c r="A15" s="295" t="s">
        <v>0</v>
      </c>
      <c r="B15" s="295"/>
      <c r="C15" s="295"/>
      <c r="D15" s="295"/>
      <c r="E15" s="295"/>
    </row>
    <row r="16" spans="1:6" ht="16.5" customHeight="1" x14ac:dyDescent="0.3">
      <c r="A16" s="254" t="s">
        <v>1</v>
      </c>
      <c r="B16" s="255" t="s">
        <v>2</v>
      </c>
    </row>
    <row r="17" spans="1:5" ht="16.5" customHeight="1" x14ac:dyDescent="0.3">
      <c r="A17" s="256" t="s">
        <v>3</v>
      </c>
      <c r="B17" s="256" t="s">
        <v>128</v>
      </c>
      <c r="D17" s="257"/>
      <c r="E17" s="258"/>
    </row>
    <row r="18" spans="1:5" ht="16.5" customHeight="1" x14ac:dyDescent="0.3">
      <c r="A18" s="259" t="s">
        <v>4</v>
      </c>
      <c r="B18" s="260" t="s">
        <v>7</v>
      </c>
      <c r="C18" s="258"/>
      <c r="D18" s="258"/>
      <c r="E18" s="258"/>
    </row>
    <row r="19" spans="1:5" ht="16.5" customHeight="1" x14ac:dyDescent="0.3">
      <c r="A19" s="259" t="s">
        <v>6</v>
      </c>
      <c r="B19" s="252">
        <v>99.89</v>
      </c>
      <c r="C19" s="258"/>
      <c r="D19" s="258"/>
      <c r="E19" s="258"/>
    </row>
    <row r="20" spans="1:5" ht="16.5" customHeight="1" x14ac:dyDescent="0.3">
      <c r="A20" s="256" t="s">
        <v>8</v>
      </c>
      <c r="B20" s="260">
        <f>21.79</f>
        <v>21.79</v>
      </c>
      <c r="C20" s="258"/>
      <c r="D20" s="258"/>
      <c r="E20" s="258"/>
    </row>
    <row r="21" spans="1:5" ht="16.5" customHeight="1" x14ac:dyDescent="0.3">
      <c r="A21" s="256" t="s">
        <v>10</v>
      </c>
      <c r="B21" s="261">
        <f>B20/50</f>
        <v>0.43579999999999997</v>
      </c>
      <c r="C21" s="258"/>
      <c r="D21" s="258"/>
      <c r="E21" s="258"/>
    </row>
    <row r="22" spans="1:5" ht="15.75" customHeight="1" x14ac:dyDescent="0.25">
      <c r="A22" s="258"/>
      <c r="B22" s="258" t="s">
        <v>129</v>
      </c>
      <c r="C22" s="258"/>
      <c r="D22" s="258"/>
      <c r="E22" s="258"/>
    </row>
    <row r="23" spans="1:5" ht="16.5" customHeight="1" x14ac:dyDescent="0.3">
      <c r="A23" s="262" t="s">
        <v>13</v>
      </c>
      <c r="B23" s="263" t="s">
        <v>14</v>
      </c>
      <c r="C23" s="262" t="s">
        <v>15</v>
      </c>
      <c r="D23" s="262" t="s">
        <v>16</v>
      </c>
      <c r="E23" s="262" t="s">
        <v>17</v>
      </c>
    </row>
    <row r="24" spans="1:5" ht="16.5" customHeight="1" x14ac:dyDescent="0.3">
      <c r="A24" s="264">
        <v>1</v>
      </c>
      <c r="B24" s="265">
        <v>8248965</v>
      </c>
      <c r="C24" s="265">
        <v>7695.3</v>
      </c>
      <c r="D24" s="266">
        <v>1.1599999999999999</v>
      </c>
      <c r="E24" s="267">
        <v>4.74</v>
      </c>
    </row>
    <row r="25" spans="1:5" ht="16.5" customHeight="1" x14ac:dyDescent="0.3">
      <c r="A25" s="264">
        <v>2</v>
      </c>
      <c r="B25" s="265">
        <v>8273468</v>
      </c>
      <c r="C25" s="265">
        <v>7746.21</v>
      </c>
      <c r="D25" s="266">
        <v>1.1100000000000001</v>
      </c>
      <c r="E25" s="266">
        <v>4.74</v>
      </c>
    </row>
    <row r="26" spans="1:5" ht="16.5" customHeight="1" x14ac:dyDescent="0.3">
      <c r="A26" s="264">
        <v>3</v>
      </c>
      <c r="B26" s="265">
        <v>8246935</v>
      </c>
      <c r="C26" s="265">
        <v>7647.76</v>
      </c>
      <c r="D26" s="266">
        <v>1.1399999999999999</v>
      </c>
      <c r="E26" s="266">
        <v>4.74</v>
      </c>
    </row>
    <row r="27" spans="1:5" ht="16.5" customHeight="1" x14ac:dyDescent="0.3">
      <c r="A27" s="264">
        <v>4</v>
      </c>
      <c r="B27" s="265">
        <v>8253705</v>
      </c>
      <c r="C27" s="265">
        <v>7707.71</v>
      </c>
      <c r="D27" s="266">
        <v>1.1499999999999999</v>
      </c>
      <c r="E27" s="266">
        <v>4.74</v>
      </c>
    </row>
    <row r="28" spans="1:5" ht="16.5" customHeight="1" x14ac:dyDescent="0.3">
      <c r="A28" s="264">
        <v>5</v>
      </c>
      <c r="B28" s="265">
        <v>8244893</v>
      </c>
      <c r="C28" s="265">
        <v>7644.71</v>
      </c>
      <c r="D28" s="266">
        <v>1.1200000000000001</v>
      </c>
      <c r="E28" s="266">
        <v>4.74</v>
      </c>
    </row>
    <row r="29" spans="1:5" ht="16.5" customHeight="1" x14ac:dyDescent="0.3">
      <c r="A29" s="264">
        <v>6</v>
      </c>
      <c r="B29" s="268">
        <v>8238555</v>
      </c>
      <c r="C29" s="268">
        <v>7564.43</v>
      </c>
      <c r="D29" s="269">
        <v>1.1599999999999999</v>
      </c>
      <c r="E29" s="269">
        <v>4.74</v>
      </c>
    </row>
    <row r="30" spans="1:5" ht="16.5" customHeight="1" x14ac:dyDescent="0.3">
      <c r="A30" s="270" t="s">
        <v>18</v>
      </c>
      <c r="B30" s="271">
        <f>AVERAGE(B24:B29)</f>
        <v>8251086.833333333</v>
      </c>
      <c r="C30" s="272">
        <f>AVERAGE(C24:C29)</f>
        <v>7667.6866666666674</v>
      </c>
      <c r="D30" s="273">
        <f>AVERAGE(D24:D29)</f>
        <v>1.1400000000000001</v>
      </c>
      <c r="E30" s="273">
        <f>AVERAGE(E24:E29)</f>
        <v>4.7400000000000011</v>
      </c>
    </row>
    <row r="31" spans="1:5" ht="16.5" customHeight="1" x14ac:dyDescent="0.3">
      <c r="A31" s="274" t="s">
        <v>19</v>
      </c>
      <c r="B31" s="275">
        <f>(STDEV(B24:B29)/B30)</f>
        <v>1.4593161884037251E-3</v>
      </c>
      <c r="C31" s="276"/>
      <c r="D31" s="276"/>
      <c r="E31" s="277"/>
    </row>
    <row r="32" spans="1:5" s="252" customFormat="1" ht="16.5" customHeight="1" x14ac:dyDescent="0.3">
      <c r="A32" s="278" t="s">
        <v>20</v>
      </c>
      <c r="B32" s="279">
        <f>COUNT(B24:B29)</f>
        <v>6</v>
      </c>
      <c r="C32" s="280"/>
      <c r="D32" s="281"/>
      <c r="E32" s="282"/>
    </row>
    <row r="33" spans="1:5" s="252" customFormat="1" ht="15.75" customHeight="1" x14ac:dyDescent="0.25">
      <c r="A33" s="258"/>
      <c r="B33" s="258"/>
      <c r="C33" s="258"/>
      <c r="D33" s="258"/>
      <c r="E33" s="258"/>
    </row>
    <row r="34" spans="1:5" s="252" customFormat="1" ht="16.5" customHeight="1" x14ac:dyDescent="0.3">
      <c r="A34" s="259" t="s">
        <v>21</v>
      </c>
      <c r="B34" s="283" t="s">
        <v>22</v>
      </c>
      <c r="C34" s="284"/>
      <c r="D34" s="284"/>
      <c r="E34" s="284"/>
    </row>
    <row r="35" spans="1:5" ht="16.5" customHeight="1" x14ac:dyDescent="0.3">
      <c r="A35" s="259"/>
      <c r="B35" s="283" t="s">
        <v>23</v>
      </c>
      <c r="C35" s="284"/>
      <c r="D35" s="284"/>
      <c r="E35" s="284"/>
    </row>
    <row r="36" spans="1:5" ht="16.5" customHeight="1" x14ac:dyDescent="0.3">
      <c r="A36" s="259"/>
      <c r="B36" s="283" t="s">
        <v>24</v>
      </c>
      <c r="C36" s="284"/>
      <c r="D36" s="284"/>
      <c r="E36" s="284"/>
    </row>
    <row r="37" spans="1:5" ht="15.75" customHeight="1" x14ac:dyDescent="0.25">
      <c r="A37" s="258"/>
      <c r="B37" s="258"/>
      <c r="C37" s="258"/>
      <c r="D37" s="258"/>
      <c r="E37" s="258"/>
    </row>
    <row r="38" spans="1:5" ht="16.5" customHeight="1" x14ac:dyDescent="0.3">
      <c r="A38" s="254" t="s">
        <v>1</v>
      </c>
      <c r="B38" s="255" t="s">
        <v>25</v>
      </c>
    </row>
    <row r="39" spans="1:5" ht="16.5" customHeight="1" x14ac:dyDescent="0.3">
      <c r="A39" s="259" t="s">
        <v>4</v>
      </c>
      <c r="B39" s="256" t="s">
        <v>7</v>
      </c>
      <c r="C39" s="258"/>
      <c r="D39" s="258"/>
      <c r="E39" s="258"/>
    </row>
    <row r="40" spans="1:5" ht="16.5" customHeight="1" x14ac:dyDescent="0.3">
      <c r="A40" s="259" t="s">
        <v>6</v>
      </c>
      <c r="B40" s="260">
        <v>99.89</v>
      </c>
      <c r="C40" s="258"/>
      <c r="D40" s="258"/>
      <c r="E40" s="258"/>
    </row>
    <row r="41" spans="1:5" ht="16.5" customHeight="1" x14ac:dyDescent="0.3">
      <c r="A41" s="256" t="s">
        <v>8</v>
      </c>
      <c r="B41" s="260">
        <v>21.79</v>
      </c>
      <c r="C41" s="258"/>
      <c r="D41" s="258"/>
      <c r="E41" s="258"/>
    </row>
    <row r="42" spans="1:5" ht="16.5" customHeight="1" x14ac:dyDescent="0.3">
      <c r="A42" s="256" t="s">
        <v>10</v>
      </c>
      <c r="B42" s="261">
        <f>B41/50*10/25</f>
        <v>0.17431999999999997</v>
      </c>
      <c r="C42" s="258"/>
      <c r="D42" s="258"/>
      <c r="E42" s="258"/>
    </row>
    <row r="43" spans="1:5" ht="15.75" customHeight="1" x14ac:dyDescent="0.25">
      <c r="A43" s="258"/>
      <c r="B43" s="258"/>
      <c r="C43" s="258"/>
      <c r="D43" s="258"/>
      <c r="E43" s="258"/>
    </row>
    <row r="44" spans="1:5" ht="16.5" customHeight="1" x14ac:dyDescent="0.3">
      <c r="A44" s="262" t="s">
        <v>13</v>
      </c>
      <c r="B44" s="263" t="s">
        <v>14</v>
      </c>
      <c r="C44" s="262" t="s">
        <v>15</v>
      </c>
      <c r="D44" s="262" t="s">
        <v>16</v>
      </c>
      <c r="E44" s="262" t="s">
        <v>17</v>
      </c>
    </row>
    <row r="45" spans="1:5" ht="16.5" customHeight="1" x14ac:dyDescent="0.3">
      <c r="A45" s="264">
        <v>1</v>
      </c>
      <c r="B45" s="265">
        <v>8248965</v>
      </c>
      <c r="C45" s="265">
        <v>7695.3</v>
      </c>
      <c r="D45" s="266">
        <v>1.1599999999999999</v>
      </c>
      <c r="E45" s="267">
        <v>4.74</v>
      </c>
    </row>
    <row r="46" spans="1:5" ht="16.5" customHeight="1" x14ac:dyDescent="0.3">
      <c r="A46" s="264">
        <v>2</v>
      </c>
      <c r="B46" s="265">
        <v>8273468</v>
      </c>
      <c r="C46" s="265">
        <v>7746.21</v>
      </c>
      <c r="D46" s="266">
        <v>1.1100000000000001</v>
      </c>
      <c r="E46" s="266">
        <v>4.74</v>
      </c>
    </row>
    <row r="47" spans="1:5" ht="16.5" customHeight="1" x14ac:dyDescent="0.3">
      <c r="A47" s="264">
        <v>3</v>
      </c>
      <c r="B47" s="265">
        <v>8246935</v>
      </c>
      <c r="C47" s="265">
        <v>7647.76</v>
      </c>
      <c r="D47" s="266">
        <v>1.1399999999999999</v>
      </c>
      <c r="E47" s="266">
        <v>4.74</v>
      </c>
    </row>
    <row r="48" spans="1:5" ht="16.5" customHeight="1" x14ac:dyDescent="0.3">
      <c r="A48" s="264">
        <v>4</v>
      </c>
      <c r="B48" s="265">
        <v>8253705</v>
      </c>
      <c r="C48" s="265">
        <v>7707.71</v>
      </c>
      <c r="D48" s="266">
        <v>1.1499999999999999</v>
      </c>
      <c r="E48" s="266">
        <v>4.74</v>
      </c>
    </row>
    <row r="49" spans="1:7" ht="16.5" customHeight="1" x14ac:dyDescent="0.3">
      <c r="A49" s="264">
        <v>5</v>
      </c>
      <c r="B49" s="265">
        <v>8244893</v>
      </c>
      <c r="C49" s="265">
        <v>7644.71</v>
      </c>
      <c r="D49" s="266">
        <v>1.1200000000000001</v>
      </c>
      <c r="E49" s="266">
        <v>4.74</v>
      </c>
    </row>
    <row r="50" spans="1:7" ht="16.5" customHeight="1" x14ac:dyDescent="0.3">
      <c r="A50" s="264">
        <v>6</v>
      </c>
      <c r="B50" s="268">
        <v>8238555</v>
      </c>
      <c r="C50" s="268">
        <v>7564.43</v>
      </c>
      <c r="D50" s="269">
        <v>1.1599999999999999</v>
      </c>
      <c r="E50" s="269">
        <v>4.74</v>
      </c>
    </row>
    <row r="51" spans="1:7" ht="16.5" customHeight="1" x14ac:dyDescent="0.3">
      <c r="A51" s="270" t="s">
        <v>18</v>
      </c>
      <c r="B51" s="271">
        <f>AVERAGE(B45:B50)</f>
        <v>8251086.833333333</v>
      </c>
      <c r="C51" s="272">
        <f>AVERAGE(C45:C50)</f>
        <v>7667.6866666666674</v>
      </c>
      <c r="D51" s="273">
        <f>AVERAGE(D45:D50)</f>
        <v>1.1400000000000001</v>
      </c>
      <c r="E51" s="273">
        <f>AVERAGE(E45:E50)</f>
        <v>4.7400000000000011</v>
      </c>
    </row>
    <row r="52" spans="1:7" ht="16.5" customHeight="1" x14ac:dyDescent="0.3">
      <c r="A52" s="274" t="s">
        <v>19</v>
      </c>
      <c r="B52" s="275">
        <f>(STDEV(B45:B50)/B51)</f>
        <v>1.4593161884037251E-3</v>
      </c>
      <c r="C52" s="276"/>
      <c r="D52" s="276"/>
      <c r="E52" s="277"/>
    </row>
    <row r="53" spans="1:7" s="252" customFormat="1" ht="16.5" customHeight="1" x14ac:dyDescent="0.3">
      <c r="A53" s="278" t="s">
        <v>20</v>
      </c>
      <c r="B53" s="279">
        <f>COUNT(B45:B50)</f>
        <v>6</v>
      </c>
      <c r="C53" s="280"/>
      <c r="D53" s="281"/>
      <c r="E53" s="282"/>
    </row>
    <row r="54" spans="1:7" s="252" customFormat="1" ht="15.75" customHeight="1" x14ac:dyDescent="0.25">
      <c r="A54" s="258"/>
      <c r="B54" s="258"/>
      <c r="C54" s="258"/>
      <c r="D54" s="258"/>
      <c r="E54" s="258"/>
    </row>
    <row r="55" spans="1:7" s="252" customFormat="1" ht="16.5" customHeight="1" x14ac:dyDescent="0.3">
      <c r="A55" s="259" t="s">
        <v>21</v>
      </c>
      <c r="B55" s="283" t="s">
        <v>22</v>
      </c>
      <c r="C55" s="284"/>
      <c r="D55" s="284"/>
      <c r="E55" s="284"/>
    </row>
    <row r="56" spans="1:7" ht="16.5" customHeight="1" x14ac:dyDescent="0.3">
      <c r="A56" s="259"/>
      <c r="B56" s="283" t="s">
        <v>23</v>
      </c>
      <c r="C56" s="284"/>
      <c r="D56" s="284"/>
      <c r="E56" s="284"/>
    </row>
    <row r="57" spans="1:7" ht="16.5" customHeight="1" x14ac:dyDescent="0.3">
      <c r="A57" s="259"/>
      <c r="B57" s="283" t="s">
        <v>24</v>
      </c>
      <c r="C57" s="284"/>
      <c r="D57" s="284"/>
      <c r="E57" s="284"/>
    </row>
    <row r="58" spans="1:7" ht="14.25" customHeight="1" thickBot="1" x14ac:dyDescent="0.3">
      <c r="A58" s="285"/>
      <c r="B58" s="286"/>
      <c r="D58" s="287"/>
      <c r="F58" s="288"/>
      <c r="G58" s="288"/>
    </row>
    <row r="59" spans="1:7" ht="15" customHeight="1" x14ac:dyDescent="0.3">
      <c r="B59" s="296" t="s">
        <v>26</v>
      </c>
      <c r="C59" s="296"/>
      <c r="E59" s="289" t="s">
        <v>27</v>
      </c>
      <c r="F59" s="290"/>
      <c r="G59" s="289" t="s">
        <v>28</v>
      </c>
    </row>
    <row r="60" spans="1:7" ht="15" customHeight="1" x14ac:dyDescent="0.3">
      <c r="A60" s="291" t="s">
        <v>29</v>
      </c>
      <c r="B60" s="292"/>
      <c r="C60" s="292"/>
      <c r="E60" s="292"/>
      <c r="G60" s="292"/>
    </row>
    <row r="61" spans="1:7" ht="15" customHeight="1" x14ac:dyDescent="0.3">
      <c r="A61" s="291" t="s">
        <v>30</v>
      </c>
      <c r="B61" s="293"/>
      <c r="C61" s="293"/>
      <c r="E61" s="293"/>
      <c r="G61" s="294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zoomScale="51" zoomScaleNormal="51" workbookViewId="0">
      <selection activeCell="A11" sqref="A11:G52"/>
    </sheetView>
  </sheetViews>
  <sheetFormatPr defaultColWidth="9.140625" defaultRowHeight="16.5" x14ac:dyDescent="0.3"/>
  <cols>
    <col min="1" max="1" width="13.140625" style="188" customWidth="1"/>
    <col min="2" max="2" width="17.85546875" style="190" customWidth="1"/>
    <col min="3" max="3" width="18.85546875" style="188" customWidth="1"/>
    <col min="4" max="4" width="19.7109375" style="189" customWidth="1"/>
    <col min="5" max="5" width="18.42578125" style="188" customWidth="1"/>
    <col min="6" max="6" width="6.42578125" style="187" customWidth="1"/>
    <col min="7" max="7" width="17.140625" style="187" customWidth="1"/>
    <col min="8" max="8" width="13.140625" style="187" customWidth="1"/>
    <col min="9" max="9" width="11" style="187" customWidth="1"/>
    <col min="10" max="10" width="15" style="187" customWidth="1"/>
    <col min="11" max="11" width="7.5703125" style="187" customWidth="1"/>
    <col min="12" max="12" width="13.140625" style="187" customWidth="1"/>
    <col min="13" max="13" width="11" style="187" customWidth="1"/>
    <col min="14" max="14" width="12.28515625" style="187" customWidth="1"/>
    <col min="15" max="15" width="6.5703125" style="187" customWidth="1"/>
    <col min="16" max="16" width="9.140625" style="187"/>
    <col min="17" max="16384" width="9.140625" style="186"/>
  </cols>
  <sheetData>
    <row r="1" spans="1:15" ht="15" x14ac:dyDescent="0.3">
      <c r="A1" s="192"/>
      <c r="B1" s="236"/>
      <c r="C1" s="192"/>
      <c r="D1" s="249"/>
      <c r="E1" s="250"/>
      <c r="F1" s="236"/>
      <c r="G1" s="250"/>
      <c r="H1" s="250"/>
      <c r="I1" s="236"/>
      <c r="J1" s="250"/>
      <c r="K1" s="215"/>
      <c r="L1" s="250"/>
      <c r="M1" s="236"/>
      <c r="N1" s="250"/>
      <c r="O1" s="236"/>
    </row>
    <row r="2" spans="1:15" ht="15" x14ac:dyDescent="0.3">
      <c r="A2" s="192"/>
      <c r="B2" s="236"/>
      <c r="C2" s="192"/>
      <c r="D2" s="249"/>
      <c r="E2" s="214"/>
      <c r="F2" s="236"/>
      <c r="G2" s="214"/>
      <c r="H2" s="214"/>
      <c r="I2" s="236"/>
      <c r="J2" s="214"/>
      <c r="K2" s="215"/>
      <c r="L2" s="214"/>
      <c r="M2" s="215"/>
      <c r="N2" s="214"/>
      <c r="O2" s="215"/>
    </row>
    <row r="3" spans="1:15" ht="15" x14ac:dyDescent="0.3">
      <c r="A3" s="192"/>
      <c r="B3" s="236"/>
      <c r="C3" s="192"/>
      <c r="D3" s="249"/>
      <c r="E3" s="214"/>
      <c r="F3" s="236"/>
      <c r="G3" s="214"/>
      <c r="H3" s="214"/>
      <c r="I3" s="236"/>
      <c r="J3" s="214"/>
      <c r="K3" s="215"/>
      <c r="L3" s="214"/>
      <c r="M3" s="215"/>
      <c r="N3" s="214"/>
      <c r="O3" s="215"/>
    </row>
    <row r="4" spans="1:15" ht="15" x14ac:dyDescent="0.3">
      <c r="A4" s="192"/>
      <c r="B4" s="236"/>
      <c r="C4" s="192"/>
      <c r="D4" s="249"/>
      <c r="E4" s="214"/>
      <c r="F4" s="236"/>
      <c r="G4" s="214"/>
      <c r="H4" s="214"/>
      <c r="I4" s="236"/>
      <c r="J4" s="214"/>
      <c r="K4" s="215"/>
      <c r="L4" s="214"/>
      <c r="M4" s="215"/>
      <c r="N4" s="214"/>
      <c r="O4" s="215"/>
    </row>
    <row r="5" spans="1:15" ht="15" x14ac:dyDescent="0.3">
      <c r="A5" s="192"/>
      <c r="B5" s="236"/>
      <c r="C5" s="192"/>
      <c r="D5" s="249"/>
      <c r="E5" s="214"/>
      <c r="F5" s="236"/>
      <c r="G5" s="214"/>
      <c r="H5" s="214"/>
      <c r="I5" s="236"/>
      <c r="J5" s="214"/>
      <c r="K5" s="215"/>
      <c r="L5" s="214"/>
      <c r="M5" s="215"/>
      <c r="N5" s="214"/>
      <c r="O5" s="215"/>
    </row>
    <row r="6" spans="1:15" ht="15" x14ac:dyDescent="0.3">
      <c r="A6" s="192"/>
      <c r="B6" s="236"/>
      <c r="C6" s="192"/>
      <c r="D6" s="249"/>
      <c r="E6" s="214"/>
      <c r="F6" s="236"/>
      <c r="G6" s="214"/>
      <c r="H6" s="214"/>
      <c r="I6" s="236"/>
      <c r="J6" s="214"/>
      <c r="K6" s="215"/>
      <c r="L6" s="214"/>
      <c r="M6" s="215"/>
      <c r="N6" s="214"/>
      <c r="O6" s="215"/>
    </row>
    <row r="7" spans="1:15" ht="15" x14ac:dyDescent="0.3">
      <c r="A7" s="192"/>
      <c r="B7" s="236"/>
      <c r="C7" s="192"/>
      <c r="D7" s="249"/>
      <c r="E7" s="214"/>
      <c r="F7" s="236"/>
      <c r="G7" s="214"/>
      <c r="H7" s="214"/>
      <c r="I7" s="236"/>
      <c r="J7" s="214"/>
      <c r="K7" s="215"/>
      <c r="L7" s="214"/>
      <c r="M7" s="215"/>
      <c r="N7" s="214"/>
      <c r="O7" s="215"/>
    </row>
    <row r="8" spans="1:15" ht="19.5" customHeight="1" x14ac:dyDescent="0.3">
      <c r="A8" s="297" t="s">
        <v>31</v>
      </c>
      <c r="B8" s="297"/>
      <c r="C8" s="297"/>
      <c r="D8" s="297"/>
      <c r="E8" s="297"/>
      <c r="F8" s="297"/>
      <c r="G8" s="297"/>
      <c r="H8" s="214"/>
      <c r="I8" s="236"/>
      <c r="J8" s="214"/>
      <c r="K8" s="215"/>
      <c r="L8" s="214"/>
      <c r="M8" s="215"/>
      <c r="N8" s="214"/>
      <c r="O8" s="215"/>
    </row>
    <row r="9" spans="1:15" ht="19.5" customHeight="1" x14ac:dyDescent="0.3">
      <c r="A9" s="248"/>
      <c r="B9" s="248"/>
      <c r="C9" s="248"/>
      <c r="D9" s="248"/>
      <c r="E9" s="248"/>
      <c r="F9" s="248"/>
      <c r="G9" s="248"/>
      <c r="H9" s="214"/>
      <c r="I9" s="236"/>
      <c r="J9" s="214"/>
      <c r="K9" s="215"/>
      <c r="L9" s="214"/>
      <c r="M9" s="215"/>
      <c r="N9" s="214"/>
      <c r="O9" s="215"/>
    </row>
    <row r="10" spans="1:15" ht="16.5" customHeight="1" x14ac:dyDescent="0.3">
      <c r="A10" s="298" t="s">
        <v>32</v>
      </c>
      <c r="B10" s="298"/>
      <c r="C10" s="298"/>
      <c r="D10" s="298"/>
      <c r="E10" s="298"/>
      <c r="F10" s="298"/>
      <c r="G10" s="298"/>
      <c r="H10" s="214"/>
      <c r="I10" s="236"/>
      <c r="J10" s="214"/>
      <c r="K10" s="215"/>
      <c r="L10" s="214"/>
      <c r="M10" s="215"/>
      <c r="N10" s="214"/>
      <c r="O10" s="215"/>
    </row>
    <row r="11" spans="1:15" ht="15" customHeight="1" x14ac:dyDescent="0.3">
      <c r="A11" s="299" t="s">
        <v>33</v>
      </c>
      <c r="B11" s="299"/>
      <c r="C11" s="192" t="s">
        <v>5</v>
      </c>
      <c r="E11" s="214"/>
      <c r="F11" s="236"/>
      <c r="G11" s="214"/>
      <c r="H11" s="214"/>
      <c r="I11" s="236"/>
      <c r="J11" s="214"/>
      <c r="K11" s="215"/>
      <c r="L11" s="214"/>
      <c r="M11" s="215"/>
      <c r="N11" s="214"/>
      <c r="O11" s="215"/>
    </row>
    <row r="12" spans="1:15" ht="15" customHeight="1" x14ac:dyDescent="0.3">
      <c r="A12" s="299" t="s">
        <v>34</v>
      </c>
      <c r="B12" s="299"/>
      <c r="C12" s="192" t="s">
        <v>7</v>
      </c>
      <c r="E12" s="214"/>
      <c r="F12" s="236"/>
      <c r="G12" s="214"/>
      <c r="H12" s="214"/>
      <c r="I12" s="236"/>
      <c r="J12" s="214"/>
      <c r="K12" s="215"/>
      <c r="L12" s="214"/>
      <c r="M12" s="215"/>
      <c r="N12" s="214"/>
      <c r="O12" s="215"/>
    </row>
    <row r="13" spans="1:15" ht="15" customHeight="1" x14ac:dyDescent="0.3">
      <c r="A13" s="299" t="s">
        <v>35</v>
      </c>
      <c r="B13" s="299"/>
      <c r="C13" s="192" t="s">
        <v>9</v>
      </c>
      <c r="E13" s="214"/>
      <c r="F13" s="236"/>
      <c r="G13" s="214"/>
      <c r="H13" s="214"/>
      <c r="I13" s="236"/>
      <c r="J13" s="214"/>
      <c r="K13" s="215"/>
      <c r="L13" s="214"/>
      <c r="M13" s="215"/>
      <c r="N13" s="214"/>
      <c r="O13" s="215"/>
    </row>
    <row r="14" spans="1:15" ht="15" customHeight="1" x14ac:dyDescent="0.3">
      <c r="A14" s="299" t="s">
        <v>36</v>
      </c>
      <c r="B14" s="299"/>
      <c r="C14" s="304" t="s">
        <v>11</v>
      </c>
      <c r="D14" s="304"/>
      <c r="E14" s="304"/>
      <c r="F14" s="304"/>
      <c r="G14" s="304"/>
      <c r="H14" s="214"/>
      <c r="I14" s="236"/>
      <c r="J14" s="214"/>
      <c r="K14" s="215"/>
      <c r="L14" s="214"/>
      <c r="M14" s="215"/>
      <c r="N14" s="214"/>
      <c r="O14" s="215"/>
    </row>
    <row r="15" spans="1:15" ht="15" customHeight="1" x14ac:dyDescent="0.3">
      <c r="A15" s="299" t="s">
        <v>37</v>
      </c>
      <c r="B15" s="299"/>
      <c r="C15" s="247" t="s">
        <v>12</v>
      </c>
      <c r="D15" s="192"/>
      <c r="E15" s="214"/>
      <c r="F15" s="236"/>
      <c r="G15" s="214"/>
      <c r="H15" s="214"/>
      <c r="I15" s="236"/>
      <c r="J15" s="214"/>
      <c r="K15" s="215"/>
      <c r="L15" s="214"/>
      <c r="M15" s="215"/>
      <c r="N15" s="214"/>
      <c r="O15" s="215"/>
    </row>
    <row r="16" spans="1:15" ht="15" customHeight="1" x14ac:dyDescent="0.3">
      <c r="A16" s="299" t="s">
        <v>38</v>
      </c>
      <c r="B16" s="299"/>
      <c r="C16" s="247" t="s">
        <v>39</v>
      </c>
      <c r="D16" s="192"/>
      <c r="E16" s="214"/>
      <c r="F16" s="236"/>
      <c r="G16" s="214"/>
      <c r="H16" s="214"/>
      <c r="I16" s="236"/>
      <c r="J16" s="214"/>
      <c r="K16" s="215"/>
      <c r="L16" s="214"/>
      <c r="M16" s="215"/>
      <c r="N16" s="214"/>
      <c r="O16" s="215"/>
    </row>
    <row r="17" spans="1:15" x14ac:dyDescent="0.3">
      <c r="B17" s="192"/>
      <c r="D17" s="192"/>
      <c r="E17" s="214"/>
      <c r="F17" s="236"/>
      <c r="G17" s="214"/>
      <c r="H17" s="214"/>
      <c r="I17" s="236"/>
      <c r="J17" s="214"/>
      <c r="K17" s="215"/>
      <c r="L17" s="214"/>
      <c r="M17" s="215"/>
      <c r="N17" s="214"/>
      <c r="O17" s="215"/>
    </row>
    <row r="18" spans="1:15" ht="15" customHeight="1" x14ac:dyDescent="0.3">
      <c r="A18" s="300" t="s">
        <v>1</v>
      </c>
      <c r="B18" s="300"/>
      <c r="C18" s="246" t="s">
        <v>40</v>
      </c>
      <c r="D18" s="192"/>
      <c r="E18" s="214"/>
      <c r="F18" s="236"/>
      <c r="G18" s="214"/>
      <c r="H18" s="214"/>
      <c r="I18" s="236"/>
      <c r="J18" s="214"/>
      <c r="K18" s="215"/>
      <c r="L18" s="214"/>
      <c r="M18" s="215"/>
      <c r="N18" s="214"/>
      <c r="O18" s="215"/>
    </row>
    <row r="19" spans="1:15" ht="15.75" customHeight="1" thickBot="1" x14ac:dyDescent="0.35">
      <c r="A19" s="187"/>
      <c r="B19" s="192"/>
      <c r="D19" s="192"/>
      <c r="E19" s="214"/>
      <c r="F19" s="236"/>
      <c r="G19" s="214"/>
      <c r="H19" s="214"/>
      <c r="I19" s="236"/>
      <c r="J19" s="214"/>
      <c r="K19" s="215"/>
      <c r="L19" s="214"/>
      <c r="M19" s="215"/>
      <c r="N19" s="214"/>
      <c r="O19" s="215"/>
    </row>
    <row r="20" spans="1:15" ht="15.75" customHeight="1" thickBot="1" x14ac:dyDescent="0.35">
      <c r="A20" s="243" t="s">
        <v>41</v>
      </c>
      <c r="B20" s="245" t="s">
        <v>42</v>
      </c>
      <c r="C20" s="244" t="s">
        <v>43</v>
      </c>
      <c r="D20" s="243" t="s">
        <v>44</v>
      </c>
      <c r="E20" s="242" t="s">
        <v>45</v>
      </c>
      <c r="G20" s="214"/>
      <c r="H20" s="235"/>
      <c r="I20" s="236"/>
      <c r="J20" s="214"/>
      <c r="K20" s="215"/>
      <c r="L20" s="235"/>
      <c r="M20" s="215"/>
      <c r="N20" s="235"/>
      <c r="O20" s="215"/>
    </row>
    <row r="21" spans="1:15" ht="15" x14ac:dyDescent="0.3">
      <c r="A21" s="241">
        <v>1</v>
      </c>
      <c r="B21" s="240">
        <v>312.33</v>
      </c>
      <c r="C21" s="239">
        <v>64.17</v>
      </c>
      <c r="D21" s="238">
        <f t="shared" ref="D21:D40" si="0">B21-C21</f>
        <v>248.15999999999997</v>
      </c>
      <c r="E21" s="221">
        <f t="shared" ref="E21:E40" si="1">(D21-$D$43)/$D$43</f>
        <v>2.1749647456022068E-2</v>
      </c>
      <c r="G21" s="214"/>
      <c r="H21" s="235"/>
      <c r="I21" s="236"/>
      <c r="J21" s="214"/>
      <c r="K21" s="215"/>
      <c r="L21" s="235"/>
      <c r="M21" s="215"/>
      <c r="N21" s="235"/>
      <c r="O21" s="215"/>
    </row>
    <row r="22" spans="1:15" ht="15" x14ac:dyDescent="0.3">
      <c r="A22" s="225">
        <v>2</v>
      </c>
      <c r="B22" s="237">
        <v>311.22000000000003</v>
      </c>
      <c r="C22" s="223">
        <v>62.95</v>
      </c>
      <c r="D22" s="222">
        <f t="shared" si="0"/>
        <v>248.27000000000004</v>
      </c>
      <c r="E22" s="221">
        <f t="shared" si="1"/>
        <v>2.2202550668547191E-2</v>
      </c>
      <c r="G22" s="214"/>
      <c r="H22" s="235"/>
      <c r="I22" s="236"/>
      <c r="J22" s="214"/>
      <c r="K22" s="215"/>
      <c r="L22" s="235"/>
      <c r="M22" s="215"/>
      <c r="N22" s="235"/>
      <c r="O22" s="215"/>
    </row>
    <row r="23" spans="1:15" ht="15" x14ac:dyDescent="0.3">
      <c r="A23" s="225">
        <v>3</v>
      </c>
      <c r="B23" s="237">
        <v>289.05</v>
      </c>
      <c r="C23" s="223">
        <v>63.55</v>
      </c>
      <c r="D23" s="222">
        <f t="shared" si="0"/>
        <v>225.5</v>
      </c>
      <c r="E23" s="221">
        <f t="shared" si="1"/>
        <v>-7.1548414324093298E-2</v>
      </c>
      <c r="G23" s="214"/>
      <c r="H23" s="235"/>
      <c r="I23" s="236"/>
      <c r="J23" s="214"/>
      <c r="K23" s="215"/>
      <c r="L23" s="235"/>
      <c r="M23" s="215"/>
      <c r="N23" s="235"/>
      <c r="O23" s="215"/>
    </row>
    <row r="24" spans="1:15" ht="15" x14ac:dyDescent="0.3">
      <c r="A24" s="225">
        <v>4</v>
      </c>
      <c r="B24" s="237">
        <v>324.32</v>
      </c>
      <c r="C24" s="223">
        <v>63.93</v>
      </c>
      <c r="D24" s="222">
        <f t="shared" si="0"/>
        <v>260.39</v>
      </c>
      <c r="E24" s="221">
        <f t="shared" si="1"/>
        <v>7.2104250084919427E-2</v>
      </c>
      <c r="G24" s="214"/>
      <c r="H24" s="235"/>
      <c r="I24" s="236"/>
      <c r="J24" s="214"/>
      <c r="K24" s="215"/>
      <c r="L24" s="235"/>
      <c r="M24" s="215"/>
      <c r="N24" s="235"/>
      <c r="O24" s="215"/>
    </row>
    <row r="25" spans="1:15" ht="15" x14ac:dyDescent="0.3">
      <c r="A25" s="225">
        <v>5</v>
      </c>
      <c r="B25" s="237">
        <v>313.36</v>
      </c>
      <c r="C25" s="223">
        <v>64.239999999999995</v>
      </c>
      <c r="D25" s="222">
        <f t="shared" si="0"/>
        <v>249.12</v>
      </c>
      <c r="E25" s="221">
        <f t="shared" si="1"/>
        <v>2.570225731078439E-2</v>
      </c>
      <c r="G25" s="214"/>
      <c r="H25" s="235"/>
      <c r="I25" s="236"/>
      <c r="J25" s="214"/>
      <c r="K25" s="215"/>
      <c r="L25" s="235"/>
      <c r="M25" s="215"/>
      <c r="N25" s="235"/>
      <c r="O25" s="215"/>
    </row>
    <row r="26" spans="1:15" ht="15" x14ac:dyDescent="0.3">
      <c r="A26" s="225">
        <v>6</v>
      </c>
      <c r="B26" s="237">
        <v>312.19</v>
      </c>
      <c r="C26" s="223">
        <v>64.52</v>
      </c>
      <c r="D26" s="222">
        <f t="shared" si="0"/>
        <v>247.67000000000002</v>
      </c>
      <c r="E26" s="221">
        <f t="shared" si="1"/>
        <v>1.9732169509320736E-2</v>
      </c>
      <c r="G26" s="214"/>
      <c r="H26" s="235"/>
      <c r="I26" s="236"/>
      <c r="J26" s="214"/>
      <c r="K26" s="215"/>
      <c r="L26" s="235"/>
      <c r="M26" s="215"/>
      <c r="N26" s="235"/>
      <c r="O26" s="215"/>
    </row>
    <row r="27" spans="1:15" ht="15" x14ac:dyDescent="0.3">
      <c r="A27" s="225">
        <v>7</v>
      </c>
      <c r="B27" s="237">
        <v>320.13</v>
      </c>
      <c r="C27" s="223">
        <v>62.03</v>
      </c>
      <c r="D27" s="222">
        <f t="shared" si="0"/>
        <v>258.10000000000002</v>
      </c>
      <c r="E27" s="221">
        <f t="shared" si="1"/>
        <v>6.2675628660538982E-2</v>
      </c>
      <c r="G27" s="214"/>
      <c r="H27" s="235"/>
      <c r="I27" s="236"/>
      <c r="J27" s="214"/>
      <c r="K27" s="215"/>
      <c r="L27" s="235"/>
      <c r="M27" s="215"/>
      <c r="N27" s="235"/>
      <c r="O27" s="215"/>
    </row>
    <row r="28" spans="1:15" ht="15" x14ac:dyDescent="0.3">
      <c r="A28" s="225">
        <v>8</v>
      </c>
      <c r="B28" s="237">
        <v>294.73</v>
      </c>
      <c r="C28" s="223">
        <v>64.680000000000007</v>
      </c>
      <c r="D28" s="222">
        <f t="shared" si="0"/>
        <v>230.05</v>
      </c>
      <c r="E28" s="221">
        <f t="shared" si="1"/>
        <v>-5.2814690533293365E-2</v>
      </c>
      <c r="G28" s="214"/>
      <c r="H28" s="235"/>
      <c r="I28" s="236"/>
      <c r="J28" s="214"/>
      <c r="K28" s="215"/>
      <c r="L28" s="235"/>
      <c r="M28" s="215"/>
      <c r="N28" s="235"/>
      <c r="O28" s="215"/>
    </row>
    <row r="29" spans="1:15" ht="15" x14ac:dyDescent="0.3">
      <c r="A29" s="225">
        <v>9</v>
      </c>
      <c r="B29" s="237">
        <v>315.79000000000002</v>
      </c>
      <c r="C29" s="223">
        <v>64.37</v>
      </c>
      <c r="D29" s="222">
        <f t="shared" si="0"/>
        <v>251.42000000000002</v>
      </c>
      <c r="E29" s="221">
        <f t="shared" si="1"/>
        <v>3.5172051754485484E-2</v>
      </c>
      <c r="G29" s="214"/>
      <c r="H29" s="235"/>
      <c r="I29" s="236"/>
      <c r="J29" s="214"/>
      <c r="K29" s="215"/>
      <c r="L29" s="235"/>
      <c r="M29" s="215"/>
      <c r="N29" s="235"/>
      <c r="O29" s="215"/>
    </row>
    <row r="30" spans="1:15" ht="15" x14ac:dyDescent="0.3">
      <c r="A30" s="225">
        <v>10</v>
      </c>
      <c r="B30" s="224">
        <v>294.2</v>
      </c>
      <c r="C30" s="223">
        <v>64.37</v>
      </c>
      <c r="D30" s="222">
        <f t="shared" si="0"/>
        <v>229.82999999999998</v>
      </c>
      <c r="E30" s="221">
        <f t="shared" si="1"/>
        <v>-5.372049695834314E-2</v>
      </c>
      <c r="G30" s="214"/>
      <c r="H30" s="235"/>
      <c r="I30" s="236"/>
      <c r="J30" s="214"/>
      <c r="K30" s="215"/>
      <c r="L30" s="235"/>
      <c r="M30" s="215"/>
      <c r="N30" s="235"/>
      <c r="O30" s="215"/>
    </row>
    <row r="31" spans="1:15" ht="15" x14ac:dyDescent="0.3">
      <c r="A31" s="225">
        <v>11</v>
      </c>
      <c r="B31" s="224">
        <v>292.94</v>
      </c>
      <c r="C31" s="223">
        <v>63.44</v>
      </c>
      <c r="D31" s="222">
        <f t="shared" si="0"/>
        <v>229.5</v>
      </c>
      <c r="E31" s="221">
        <f t="shared" si="1"/>
        <v>-5.5079206595917578E-2</v>
      </c>
      <c r="G31" s="234"/>
      <c r="H31" s="234"/>
      <c r="I31" s="234"/>
      <c r="J31" s="234"/>
      <c r="K31" s="215"/>
      <c r="L31" s="234"/>
      <c r="M31" s="215"/>
      <c r="N31" s="234"/>
      <c r="O31" s="215"/>
    </row>
    <row r="32" spans="1:15" ht="15" x14ac:dyDescent="0.3">
      <c r="A32" s="225">
        <v>12</v>
      </c>
      <c r="B32" s="224">
        <v>326.85000000000002</v>
      </c>
      <c r="C32" s="223">
        <v>63.46</v>
      </c>
      <c r="D32" s="222">
        <f t="shared" si="0"/>
        <v>263.39000000000004</v>
      </c>
      <c r="E32" s="221">
        <f t="shared" si="1"/>
        <v>8.4456155881051459E-2</v>
      </c>
      <c r="G32" s="234"/>
      <c r="H32" s="234"/>
      <c r="I32" s="234"/>
      <c r="J32" s="234"/>
      <c r="K32" s="215"/>
      <c r="L32" s="234"/>
      <c r="M32" s="234"/>
      <c r="N32" s="234"/>
      <c r="O32" s="234"/>
    </row>
    <row r="33" spans="1:15" ht="15" x14ac:dyDescent="0.3">
      <c r="A33" s="225">
        <v>13</v>
      </c>
      <c r="B33" s="224">
        <v>323.93</v>
      </c>
      <c r="C33" s="223">
        <v>64</v>
      </c>
      <c r="D33" s="222">
        <f t="shared" si="0"/>
        <v>259.93</v>
      </c>
      <c r="E33" s="221">
        <f t="shared" si="1"/>
        <v>7.0210291196179303E-2</v>
      </c>
      <c r="G33" s="231"/>
      <c r="H33" s="231"/>
      <c r="I33" s="231"/>
      <c r="J33" s="231"/>
      <c r="K33" s="233"/>
      <c r="L33" s="231"/>
      <c r="M33" s="231"/>
      <c r="N33" s="232"/>
      <c r="O33" s="231"/>
    </row>
    <row r="34" spans="1:15" ht="15" x14ac:dyDescent="0.3">
      <c r="A34" s="225">
        <v>14</v>
      </c>
      <c r="B34" s="224">
        <v>302.2</v>
      </c>
      <c r="C34" s="223">
        <v>63.65</v>
      </c>
      <c r="D34" s="222">
        <f t="shared" si="0"/>
        <v>238.54999999999998</v>
      </c>
      <c r="E34" s="221">
        <f t="shared" si="1"/>
        <v>-1.7817624110920059E-2</v>
      </c>
      <c r="G34" s="229"/>
      <c r="H34" s="230"/>
      <c r="I34" s="230"/>
      <c r="J34" s="229"/>
      <c r="K34" s="228"/>
      <c r="L34" s="227"/>
      <c r="M34" s="230"/>
      <c r="N34" s="227"/>
      <c r="O34" s="230"/>
    </row>
    <row r="35" spans="1:15" ht="15" x14ac:dyDescent="0.3">
      <c r="A35" s="225">
        <v>15</v>
      </c>
      <c r="B35" s="224">
        <v>324.02999999999997</v>
      </c>
      <c r="C35" s="223">
        <v>66.92</v>
      </c>
      <c r="D35" s="222">
        <f t="shared" si="0"/>
        <v>257.10999999999996</v>
      </c>
      <c r="E35" s="221">
        <f t="shared" si="1"/>
        <v>5.8599499747815212E-2</v>
      </c>
      <c r="G35" s="229"/>
      <c r="J35" s="229"/>
      <c r="K35" s="228"/>
      <c r="L35" s="227"/>
      <c r="N35" s="227"/>
    </row>
    <row r="36" spans="1:15" ht="15" x14ac:dyDescent="0.3">
      <c r="A36" s="225">
        <v>16</v>
      </c>
      <c r="B36" s="224">
        <v>299.89</v>
      </c>
      <c r="C36" s="223">
        <v>64.88</v>
      </c>
      <c r="D36" s="222">
        <f t="shared" si="0"/>
        <v>235.01</v>
      </c>
      <c r="E36" s="221">
        <f t="shared" si="1"/>
        <v>-3.2392872950355547E-2</v>
      </c>
      <c r="G36" s="226"/>
      <c r="H36" s="226"/>
    </row>
    <row r="37" spans="1:15" ht="15" x14ac:dyDescent="0.3">
      <c r="A37" s="225">
        <v>17</v>
      </c>
      <c r="B37" s="224">
        <v>316.95999999999998</v>
      </c>
      <c r="C37" s="223">
        <v>63.29</v>
      </c>
      <c r="D37" s="222">
        <f t="shared" si="0"/>
        <v>253.67</v>
      </c>
      <c r="E37" s="221">
        <f t="shared" si="1"/>
        <v>4.4435981101584213E-2</v>
      </c>
    </row>
    <row r="38" spans="1:15" ht="15" x14ac:dyDescent="0.3">
      <c r="A38" s="225">
        <v>18</v>
      </c>
      <c r="B38" s="224">
        <v>279.25</v>
      </c>
      <c r="C38" s="223">
        <v>64.06</v>
      </c>
      <c r="D38" s="222">
        <f t="shared" si="0"/>
        <v>215.19</v>
      </c>
      <c r="E38" s="221">
        <f t="shared" si="1"/>
        <v>-0.11399779724346626</v>
      </c>
    </row>
    <row r="39" spans="1:15" ht="15" x14ac:dyDescent="0.3">
      <c r="A39" s="225">
        <v>19</v>
      </c>
      <c r="B39" s="224">
        <v>284.25</v>
      </c>
      <c r="C39" s="223">
        <v>64.84</v>
      </c>
      <c r="D39" s="222">
        <f t="shared" si="0"/>
        <v>219.41</v>
      </c>
      <c r="E39" s="221">
        <f t="shared" si="1"/>
        <v>-9.662278309024086E-2</v>
      </c>
    </row>
    <row r="40" spans="1:15" ht="14.25" customHeight="1" thickBot="1" x14ac:dyDescent="0.35">
      <c r="A40" s="220">
        <v>20</v>
      </c>
      <c r="B40" s="219">
        <v>300.89</v>
      </c>
      <c r="C40" s="218">
        <v>63.61</v>
      </c>
      <c r="D40" s="217">
        <f t="shared" si="0"/>
        <v>237.27999999999997</v>
      </c>
      <c r="E40" s="216">
        <f t="shared" si="1"/>
        <v>-2.3046597564615898E-2</v>
      </c>
    </row>
    <row r="41" spans="1:15" ht="14.25" customHeight="1" thickBot="1" x14ac:dyDescent="0.35">
      <c r="B41" s="192"/>
      <c r="D41" s="215"/>
      <c r="G41" s="214"/>
    </row>
    <row r="42" spans="1:15" x14ac:dyDescent="0.3">
      <c r="A42" s="213" t="s">
        <v>46</v>
      </c>
      <c r="B42" s="212">
        <f>SUM(B21:B40)</f>
        <v>6138.51</v>
      </c>
      <c r="C42" s="211">
        <f>SUM(C21:C40)</f>
        <v>1280.9599999999996</v>
      </c>
      <c r="D42" s="210">
        <f>SUM(D21:D40)</f>
        <v>4857.5499999999993</v>
      </c>
    </row>
    <row r="43" spans="1:15" ht="15.75" customHeight="1" thickBot="1" x14ac:dyDescent="0.35">
      <c r="A43" s="209" t="s">
        <v>47</v>
      </c>
      <c r="B43" s="208">
        <f>AVERAGE(B21:B40)</f>
        <v>306.9255</v>
      </c>
      <c r="C43" s="207">
        <f>AVERAGE(C21:C40)</f>
        <v>64.047999999999973</v>
      </c>
      <c r="D43" s="206">
        <f>AVERAGE(D21:D40)</f>
        <v>242.87749999999997</v>
      </c>
    </row>
    <row r="44" spans="1:15" x14ac:dyDescent="0.3">
      <c r="A44" s="192"/>
      <c r="B44" s="205"/>
      <c r="C44" s="205"/>
      <c r="D44" s="192"/>
    </row>
    <row r="45" spans="1:15" ht="14.25" customHeight="1" thickBot="1" x14ac:dyDescent="0.35">
      <c r="A45" s="192"/>
      <c r="B45" s="192"/>
      <c r="C45" s="192"/>
      <c r="D45" s="192"/>
    </row>
    <row r="46" spans="1:15" ht="30.75" customHeight="1" thickBot="1" x14ac:dyDescent="0.35">
      <c r="B46" s="204" t="s">
        <v>47</v>
      </c>
      <c r="C46" s="203" t="s">
        <v>48</v>
      </c>
    </row>
    <row r="47" spans="1:15" ht="15.75" customHeight="1" thickBot="1" x14ac:dyDescent="0.35">
      <c r="B47" s="301">
        <f>D43</f>
        <v>242.87749999999997</v>
      </c>
      <c r="C47" s="202">
        <f>-(IF(D43&gt;300, 7.5%, 10%))</f>
        <v>-0.1</v>
      </c>
      <c r="D47" s="200">
        <f>IF(D43&lt;300, D43*0.9, D43*0.925)</f>
        <v>218.58974999999998</v>
      </c>
    </row>
    <row r="48" spans="1:15" ht="15.75" customHeight="1" thickBot="1" x14ac:dyDescent="0.35">
      <c r="B48" s="302"/>
      <c r="C48" s="201">
        <f>+(IF(D43&gt;300, 7.5%, 10%))</f>
        <v>0.1</v>
      </c>
      <c r="D48" s="200">
        <f>IF(D43&lt;300, D43*1.1, D43*1.075)</f>
        <v>267.16525000000001</v>
      </c>
    </row>
    <row r="49" spans="1:7" ht="14.25" customHeight="1" thickBot="1" x14ac:dyDescent="0.35">
      <c r="A49" s="199"/>
      <c r="D49" s="198"/>
    </row>
    <row r="50" spans="1:7" ht="15" customHeight="1" x14ac:dyDescent="0.3">
      <c r="B50" s="303" t="s">
        <v>26</v>
      </c>
      <c r="C50" s="303"/>
      <c r="D50" s="192"/>
      <c r="E50" s="196" t="s">
        <v>27</v>
      </c>
      <c r="F50" s="197"/>
      <c r="G50" s="196" t="s">
        <v>28</v>
      </c>
    </row>
    <row r="51" spans="1:7" ht="15" customHeight="1" x14ac:dyDescent="0.3">
      <c r="A51" s="194" t="s">
        <v>29</v>
      </c>
      <c r="B51" s="195"/>
      <c r="C51" s="195"/>
      <c r="D51" s="192"/>
      <c r="E51" s="195"/>
      <c r="F51" s="192"/>
      <c r="G51" s="195"/>
    </row>
    <row r="52" spans="1:7" ht="15" customHeight="1" x14ac:dyDescent="0.3">
      <c r="A52" s="194" t="s">
        <v>30</v>
      </c>
      <c r="B52" s="193"/>
      <c r="C52" s="193"/>
      <c r="D52" s="192"/>
      <c r="E52" s="193"/>
      <c r="F52" s="192"/>
      <c r="G52" s="191"/>
    </row>
  </sheetData>
  <sheetProtection password="F258" sheet="1" formatColumns="0" formatRows="0" insertColumns="0" insertHyperlinks="0" deleteColumns="0" deleteRows="0" autoFilter="0" pivotTables="0"/>
  <mergeCells count="12">
    <mergeCell ref="A16:B16"/>
    <mergeCell ref="A18:B18"/>
    <mergeCell ref="B47:B48"/>
    <mergeCell ref="B50:C50"/>
    <mergeCell ref="A14:B14"/>
    <mergeCell ref="C14:G14"/>
    <mergeCell ref="A15:B15"/>
    <mergeCell ref="A8:G8"/>
    <mergeCell ref="A10:G10"/>
    <mergeCell ref="A11:B11"/>
    <mergeCell ref="A12:B12"/>
    <mergeCell ref="A13:B13"/>
  </mergeCells>
  <conditionalFormatting sqref="E21">
    <cfRule type="cellIs" dxfId="28" priority="1" operator="notBetween">
      <formula>IF(+$D$43&lt;300, -10.5%, -7.5%)</formula>
      <formula>IF(+$D$43&lt;300, 10.5%, 7.5%)</formula>
    </cfRule>
  </conditionalFormatting>
  <conditionalFormatting sqref="E22">
    <cfRule type="cellIs" dxfId="27" priority="2" operator="notBetween">
      <formula>IF(+$D$43&lt;300, -10.5%, -7.5%)</formula>
      <formula>IF(+$D$43&lt;300, 10.5%, 7.5%)</formula>
    </cfRule>
  </conditionalFormatting>
  <conditionalFormatting sqref="E23">
    <cfRule type="cellIs" dxfId="26" priority="3" operator="notBetween">
      <formula>IF(+$D$43&lt;300, -10.5%, -7.5%)</formula>
      <formula>IF(+$D$43&lt;300, 10.5%, 7.5%)</formula>
    </cfRule>
  </conditionalFormatting>
  <conditionalFormatting sqref="E24">
    <cfRule type="cellIs" dxfId="25" priority="4" operator="notBetween">
      <formula>IF(+$D$43&lt;300, -10.5%, -7.5%)</formula>
      <formula>IF(+$D$43&lt;300, 10.5%, 7.5%)</formula>
    </cfRule>
  </conditionalFormatting>
  <conditionalFormatting sqref="E25">
    <cfRule type="cellIs" dxfId="24" priority="5" operator="notBetween">
      <formula>IF(+$D$43&lt;300, -10.5%, -7.5%)</formula>
      <formula>IF(+$D$43&lt;300, 10.5%, 7.5%)</formula>
    </cfRule>
  </conditionalFormatting>
  <conditionalFormatting sqref="E26">
    <cfRule type="cellIs" dxfId="23" priority="6" operator="notBetween">
      <formula>IF(+$D$43&lt;300, -10.5%, -7.5%)</formula>
      <formula>IF(+$D$43&lt;300, 10.5%, 7.5%)</formula>
    </cfRule>
  </conditionalFormatting>
  <conditionalFormatting sqref="E27">
    <cfRule type="cellIs" dxfId="22" priority="7" operator="notBetween">
      <formula>IF(+$D$43&lt;300, -10.5%, -7.5%)</formula>
      <formula>IF(+$D$43&lt;300, 10.5%, 7.5%)</formula>
    </cfRule>
  </conditionalFormatting>
  <conditionalFormatting sqref="E28">
    <cfRule type="cellIs" dxfId="21" priority="8" operator="notBetween">
      <formula>IF(+$D$43&lt;300, -10.5%, -7.5%)</formula>
      <formula>IF(+$D$43&lt;300, 10.5%, 7.5%)</formula>
    </cfRule>
  </conditionalFormatting>
  <conditionalFormatting sqref="E29">
    <cfRule type="cellIs" dxfId="20" priority="9" operator="notBetween">
      <formula>IF(+$D$43&lt;300, -10.5%, -7.5%)</formula>
      <formula>IF(+$D$43&lt;300, 10.5%, 7.5%)</formula>
    </cfRule>
  </conditionalFormatting>
  <conditionalFormatting sqref="E30">
    <cfRule type="cellIs" dxfId="19" priority="10" operator="notBetween">
      <formula>IF(+$D$43&lt;300, -10.5%, -7.5%)</formula>
      <formula>IF(+$D$43&lt;300, 10.5%, 7.5%)</formula>
    </cfRule>
  </conditionalFormatting>
  <conditionalFormatting sqref="E31">
    <cfRule type="cellIs" dxfId="18" priority="11" operator="notBetween">
      <formula>IF(+$D$43&lt;300, -10.5%, -7.5%)</formula>
      <formula>IF(+$D$43&lt;300, 10.5%, 7.5%)</formula>
    </cfRule>
  </conditionalFormatting>
  <conditionalFormatting sqref="E32">
    <cfRule type="cellIs" dxfId="17" priority="12" operator="notBetween">
      <formula>IF(+$D$43&lt;300, -10.5%, -7.5%)</formula>
      <formula>IF(+$D$43&lt;300, 10.5%, 7.5%)</formula>
    </cfRule>
  </conditionalFormatting>
  <conditionalFormatting sqref="E33">
    <cfRule type="cellIs" dxfId="16" priority="13" operator="notBetween">
      <formula>IF(+$D$43&lt;300, -10.5%, -7.5%)</formula>
      <formula>IF(+$D$43&lt;300, 10.5%, 7.5%)</formula>
    </cfRule>
  </conditionalFormatting>
  <conditionalFormatting sqref="E34">
    <cfRule type="cellIs" dxfId="15" priority="14" operator="notBetween">
      <formula>IF(+$D$43&lt;300, -10.5%, -7.5%)</formula>
      <formula>IF(+$D$43&lt;300, 10.5%, 7.5%)</formula>
    </cfRule>
  </conditionalFormatting>
  <conditionalFormatting sqref="E35">
    <cfRule type="cellIs" dxfId="14" priority="15" operator="notBetween">
      <formula>IF(+$D$43&lt;300, -10.5%, -7.5%)</formula>
      <formula>IF(+$D$43&lt;300, 10.5%, 7.5%)</formula>
    </cfRule>
  </conditionalFormatting>
  <conditionalFormatting sqref="E36">
    <cfRule type="cellIs" dxfId="13" priority="16" operator="notBetween">
      <formula>IF(+$D$43&lt;300, -10.5%, -7.5%)</formula>
      <formula>IF(+$D$43&lt;300, 10.5%, 7.5%)</formula>
    </cfRule>
  </conditionalFormatting>
  <conditionalFormatting sqref="E37">
    <cfRule type="cellIs" dxfId="12" priority="17" operator="notBetween">
      <formula>IF(+$D$43&lt;300, -10.5%, -7.5%)</formula>
      <formula>IF(+$D$43&lt;300, 10.5%, 7.5%)</formula>
    </cfRule>
  </conditionalFormatting>
  <conditionalFormatting sqref="E38">
    <cfRule type="cellIs" dxfId="11" priority="18" operator="notBetween">
      <formula>IF(+$D$43&lt;300, -10.5%, -7.5%)</formula>
      <formula>IF(+$D$43&lt;300, 10.5%, 7.5%)</formula>
    </cfRule>
  </conditionalFormatting>
  <conditionalFormatting sqref="E39">
    <cfRule type="cellIs" dxfId="10" priority="19" operator="notBetween">
      <formula>IF(+$D$43&lt;300, -10.5%, -7.5%)</formula>
      <formula>IF(+$D$43&lt;300, 10.5%, 7.5%)</formula>
    </cfRule>
  </conditionalFormatting>
  <conditionalFormatting sqref="E40">
    <cfRule type="cellIs" dxfId="9" priority="20" operator="notBetween">
      <formula>IF(+$D$43&lt;300, -10.5%, -7.5%)</formula>
      <formula>IF(+$D$43&lt;300, 10.5%, 7.5%)</formula>
    </cfRule>
  </conditionalFormatting>
  <pageMargins left="0.7" right="0.7" top="0.75" bottom="0.75" header="0.3" footer="0.3"/>
  <pageSetup scale="65" fitToWidth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B26" zoomScale="50" zoomScaleNormal="40" zoomScalePageLayoutView="50" workbookViewId="0">
      <selection activeCell="F116" sqref="F116"/>
    </sheetView>
  </sheetViews>
  <sheetFormatPr defaultColWidth="9.140625" defaultRowHeight="13.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30" style="1" customWidth="1"/>
    <col min="9" max="9" width="30.28515625" style="1" hidden="1" customWidth="1"/>
    <col min="10" max="10" width="30.42578125" style="1" customWidth="1"/>
    <col min="11" max="11" width="21.28515625" style="1" customWidth="1"/>
    <col min="12" max="12" width="9.140625" style="1"/>
  </cols>
  <sheetData>
    <row r="1" spans="1:9" ht="18.75" customHeight="1" x14ac:dyDescent="0.25">
      <c r="A1" s="305" t="s">
        <v>49</v>
      </c>
      <c r="B1" s="305"/>
      <c r="C1" s="305"/>
      <c r="D1" s="305"/>
      <c r="E1" s="305"/>
      <c r="F1" s="305"/>
      <c r="G1" s="305"/>
      <c r="H1" s="305"/>
      <c r="I1" s="305"/>
    </row>
    <row r="2" spans="1:9" ht="18.75" customHeight="1" x14ac:dyDescent="0.25">
      <c r="A2" s="305"/>
      <c r="B2" s="305"/>
      <c r="C2" s="305"/>
      <c r="D2" s="305"/>
      <c r="E2" s="305"/>
      <c r="F2" s="305"/>
      <c r="G2" s="305"/>
      <c r="H2" s="305"/>
      <c r="I2" s="305"/>
    </row>
    <row r="3" spans="1:9" ht="18.75" customHeight="1" x14ac:dyDescent="0.25">
      <c r="A3" s="305"/>
      <c r="B3" s="305"/>
      <c r="C3" s="305"/>
      <c r="D3" s="305"/>
      <c r="E3" s="305"/>
      <c r="F3" s="305"/>
      <c r="G3" s="305"/>
      <c r="H3" s="305"/>
      <c r="I3" s="305"/>
    </row>
    <row r="4" spans="1:9" ht="18.75" customHeight="1" x14ac:dyDescent="0.25">
      <c r="A4" s="305"/>
      <c r="B4" s="305"/>
      <c r="C4" s="305"/>
      <c r="D4" s="305"/>
      <c r="E4" s="305"/>
      <c r="F4" s="305"/>
      <c r="G4" s="305"/>
      <c r="H4" s="305"/>
      <c r="I4" s="305"/>
    </row>
    <row r="5" spans="1:9" ht="18.75" customHeight="1" x14ac:dyDescent="0.25">
      <c r="A5" s="305"/>
      <c r="B5" s="305"/>
      <c r="C5" s="305"/>
      <c r="D5" s="305"/>
      <c r="E5" s="305"/>
      <c r="F5" s="305"/>
      <c r="G5" s="305"/>
      <c r="H5" s="305"/>
      <c r="I5" s="305"/>
    </row>
    <row r="6" spans="1:9" ht="18.75" customHeight="1" x14ac:dyDescent="0.25">
      <c r="A6" s="305"/>
      <c r="B6" s="305"/>
      <c r="C6" s="305"/>
      <c r="D6" s="305"/>
      <c r="E6" s="305"/>
      <c r="F6" s="305"/>
      <c r="G6" s="305"/>
      <c r="H6" s="305"/>
      <c r="I6" s="305"/>
    </row>
    <row r="7" spans="1:9" ht="18.75" customHeight="1" x14ac:dyDescent="0.25">
      <c r="A7" s="305"/>
      <c r="B7" s="305"/>
      <c r="C7" s="305"/>
      <c r="D7" s="305"/>
      <c r="E7" s="305"/>
      <c r="F7" s="305"/>
      <c r="G7" s="305"/>
      <c r="H7" s="305"/>
      <c r="I7" s="305"/>
    </row>
    <row r="8" spans="1:9" x14ac:dyDescent="0.25">
      <c r="A8" s="306" t="s">
        <v>50</v>
      </c>
      <c r="B8" s="306"/>
      <c r="C8" s="306"/>
      <c r="D8" s="306"/>
      <c r="E8" s="306"/>
      <c r="F8" s="306"/>
      <c r="G8" s="306"/>
      <c r="H8" s="306"/>
      <c r="I8" s="306"/>
    </row>
    <row r="9" spans="1:9" x14ac:dyDescent="0.25">
      <c r="A9" s="306"/>
      <c r="B9" s="306"/>
      <c r="C9" s="306"/>
      <c r="D9" s="306"/>
      <c r="E9" s="306"/>
      <c r="F9" s="306"/>
      <c r="G9" s="306"/>
      <c r="H9" s="306"/>
      <c r="I9" s="306"/>
    </row>
    <row r="10" spans="1:9" x14ac:dyDescent="0.25">
      <c r="A10" s="306"/>
      <c r="B10" s="306"/>
      <c r="C10" s="306"/>
      <c r="D10" s="306"/>
      <c r="E10" s="306"/>
      <c r="F10" s="306"/>
      <c r="G10" s="306"/>
      <c r="H10" s="306"/>
      <c r="I10" s="306"/>
    </row>
    <row r="11" spans="1:9" x14ac:dyDescent="0.25">
      <c r="A11" s="306"/>
      <c r="B11" s="306"/>
      <c r="C11" s="306"/>
      <c r="D11" s="306"/>
      <c r="E11" s="306"/>
      <c r="F11" s="306"/>
      <c r="G11" s="306"/>
      <c r="H11" s="306"/>
      <c r="I11" s="306"/>
    </row>
    <row r="12" spans="1:9" x14ac:dyDescent="0.25">
      <c r="A12" s="306"/>
      <c r="B12" s="306"/>
      <c r="C12" s="306"/>
      <c r="D12" s="306"/>
      <c r="E12" s="306"/>
      <c r="F12" s="306"/>
      <c r="G12" s="306"/>
      <c r="H12" s="306"/>
      <c r="I12" s="306"/>
    </row>
    <row r="13" spans="1:9" x14ac:dyDescent="0.25">
      <c r="A13" s="306"/>
      <c r="B13" s="306"/>
      <c r="C13" s="306"/>
      <c r="D13" s="306"/>
      <c r="E13" s="306"/>
      <c r="F13" s="306"/>
      <c r="G13" s="306"/>
      <c r="H13" s="306"/>
      <c r="I13" s="306"/>
    </row>
    <row r="14" spans="1:9" x14ac:dyDescent="0.25">
      <c r="A14" s="306"/>
      <c r="B14" s="306"/>
      <c r="C14" s="306"/>
      <c r="D14" s="306"/>
      <c r="E14" s="306"/>
      <c r="F14" s="306"/>
      <c r="G14" s="306"/>
      <c r="H14" s="306"/>
      <c r="I14" s="306"/>
    </row>
    <row r="15" spans="1:9" ht="19.5" customHeight="1" x14ac:dyDescent="0.3">
      <c r="A15" s="3"/>
    </row>
    <row r="16" spans="1:9" ht="19.5" customHeight="1" x14ac:dyDescent="0.3">
      <c r="A16" s="339" t="s">
        <v>31</v>
      </c>
      <c r="B16" s="340"/>
      <c r="C16" s="340"/>
      <c r="D16" s="340"/>
      <c r="E16" s="340"/>
      <c r="F16" s="340"/>
      <c r="G16" s="340"/>
      <c r="H16" s="341"/>
    </row>
    <row r="17" spans="1:14" ht="20.25" customHeight="1" x14ac:dyDescent="0.25">
      <c r="A17" s="342" t="s">
        <v>51</v>
      </c>
      <c r="B17" s="342"/>
      <c r="C17" s="342"/>
      <c r="D17" s="342"/>
      <c r="E17" s="342"/>
      <c r="F17" s="342"/>
      <c r="G17" s="342"/>
      <c r="H17" s="342"/>
    </row>
    <row r="18" spans="1:14" ht="26.25" customHeight="1" x14ac:dyDescent="0.4">
      <c r="A18" s="5" t="s">
        <v>33</v>
      </c>
      <c r="B18" s="338" t="s">
        <v>5</v>
      </c>
      <c r="C18" s="338"/>
      <c r="D18" s="172"/>
      <c r="E18" s="6"/>
      <c r="F18" s="7"/>
      <c r="G18" s="7"/>
      <c r="H18" s="7"/>
    </row>
    <row r="19" spans="1:14" ht="26.25" customHeight="1" x14ac:dyDescent="0.4">
      <c r="A19" s="5" t="s">
        <v>34</v>
      </c>
      <c r="B19" s="8" t="s">
        <v>7</v>
      </c>
      <c r="C19" s="185">
        <v>29</v>
      </c>
      <c r="D19" s="7"/>
      <c r="E19" s="7"/>
      <c r="F19" s="7"/>
      <c r="G19" s="7"/>
      <c r="H19" s="7"/>
    </row>
    <row r="20" spans="1:14" ht="26.25" customHeight="1" x14ac:dyDescent="0.4">
      <c r="A20" s="5" t="s">
        <v>35</v>
      </c>
      <c r="B20" s="343" t="s">
        <v>9</v>
      </c>
      <c r="C20" s="343"/>
      <c r="D20" s="7"/>
      <c r="E20" s="7"/>
      <c r="F20" s="7"/>
      <c r="G20" s="7"/>
      <c r="H20" s="7"/>
    </row>
    <row r="21" spans="1:14" ht="26.25" customHeight="1" x14ac:dyDescent="0.4">
      <c r="A21" s="5" t="s">
        <v>36</v>
      </c>
      <c r="B21" s="343" t="s">
        <v>11</v>
      </c>
      <c r="C21" s="343"/>
      <c r="D21" s="343"/>
      <c r="E21" s="343"/>
      <c r="F21" s="343"/>
      <c r="G21" s="343"/>
      <c r="H21" s="343"/>
      <c r="I21" s="9"/>
    </row>
    <row r="22" spans="1:14" ht="26.25" customHeight="1" x14ac:dyDescent="0.4">
      <c r="A22" s="5" t="s">
        <v>37</v>
      </c>
      <c r="B22" s="10" t="s">
        <v>12</v>
      </c>
      <c r="C22" s="7"/>
      <c r="D22" s="7"/>
      <c r="E22" s="7"/>
      <c r="F22" s="7"/>
      <c r="G22" s="7"/>
      <c r="H22" s="7"/>
    </row>
    <row r="23" spans="1:14" ht="26.25" customHeight="1" x14ac:dyDescent="0.4">
      <c r="A23" s="5" t="s">
        <v>38</v>
      </c>
      <c r="B23" s="10">
        <v>42545.62945601852</v>
      </c>
      <c r="C23" s="7"/>
      <c r="D23" s="7"/>
      <c r="E23" s="7"/>
      <c r="F23" s="7"/>
      <c r="G23" s="7"/>
      <c r="H23" s="7"/>
    </row>
    <row r="24" spans="1:14" ht="18.75" x14ac:dyDescent="0.3">
      <c r="A24" s="5"/>
      <c r="B24" s="11"/>
    </row>
    <row r="25" spans="1:14" ht="18.75" x14ac:dyDescent="0.3">
      <c r="A25" s="12" t="s">
        <v>1</v>
      </c>
      <c r="B25" s="11"/>
    </row>
    <row r="26" spans="1:14" ht="26.25" customHeight="1" x14ac:dyDescent="0.4">
      <c r="A26" s="13" t="s">
        <v>4</v>
      </c>
      <c r="B26" s="338" t="s">
        <v>130</v>
      </c>
      <c r="C26" s="338"/>
    </row>
    <row r="27" spans="1:14" ht="26.25" customHeight="1" x14ac:dyDescent="0.4">
      <c r="A27" s="14" t="s">
        <v>52</v>
      </c>
      <c r="B27" s="336" t="s">
        <v>131</v>
      </c>
      <c r="C27" s="336"/>
    </row>
    <row r="28" spans="1:14" ht="27" customHeight="1" x14ac:dyDescent="0.4">
      <c r="A28" s="14" t="s">
        <v>6</v>
      </c>
      <c r="B28" s="15">
        <v>99.89</v>
      </c>
    </row>
    <row r="29" spans="1:14" s="2" customFormat="1" ht="27" customHeight="1" x14ac:dyDescent="0.4">
      <c r="A29" s="14" t="s">
        <v>53</v>
      </c>
      <c r="B29" s="16">
        <v>0</v>
      </c>
      <c r="C29" s="313" t="s">
        <v>54</v>
      </c>
      <c r="D29" s="314"/>
      <c r="E29" s="314"/>
      <c r="F29" s="314"/>
      <c r="G29" s="315"/>
      <c r="I29" s="17"/>
      <c r="J29" s="17"/>
      <c r="K29" s="17"/>
      <c r="L29" s="17"/>
    </row>
    <row r="30" spans="1:14" s="2" customFormat="1" ht="19.5" customHeight="1" x14ac:dyDescent="0.3">
      <c r="A30" s="14" t="s">
        <v>55</v>
      </c>
      <c r="B30" s="18">
        <f>B28-B29</f>
        <v>99.89</v>
      </c>
      <c r="C30" s="19"/>
      <c r="D30" s="19"/>
      <c r="E30" s="19"/>
      <c r="F30" s="19"/>
      <c r="G30" s="20"/>
      <c r="I30" s="17"/>
      <c r="J30" s="17"/>
      <c r="K30" s="17"/>
      <c r="L30" s="17"/>
    </row>
    <row r="31" spans="1:14" s="2" customFormat="1" ht="27" customHeight="1" x14ac:dyDescent="0.4">
      <c r="A31" s="14" t="s">
        <v>56</v>
      </c>
      <c r="B31" s="21">
        <v>1</v>
      </c>
      <c r="C31" s="316" t="s">
        <v>57</v>
      </c>
      <c r="D31" s="317"/>
      <c r="E31" s="317"/>
      <c r="F31" s="317"/>
      <c r="G31" s="317"/>
      <c r="H31" s="318"/>
      <c r="I31" s="17"/>
      <c r="J31" s="17"/>
      <c r="K31" s="17"/>
      <c r="L31" s="17"/>
    </row>
    <row r="32" spans="1:14" s="2" customFormat="1" ht="27" customHeight="1" x14ac:dyDescent="0.4">
      <c r="A32" s="14" t="s">
        <v>58</v>
      </c>
      <c r="B32" s="21">
        <v>1</v>
      </c>
      <c r="C32" s="316" t="s">
        <v>59</v>
      </c>
      <c r="D32" s="317"/>
      <c r="E32" s="317"/>
      <c r="F32" s="317"/>
      <c r="G32" s="317"/>
      <c r="H32" s="318"/>
      <c r="I32" s="17"/>
      <c r="J32" s="17"/>
      <c r="K32" s="17"/>
      <c r="L32" s="22"/>
      <c r="M32" s="22"/>
      <c r="N32" s="23"/>
    </row>
    <row r="33" spans="1:14" s="2" customFormat="1" ht="17.25" customHeight="1" x14ac:dyDescent="0.3">
      <c r="A33" s="14"/>
      <c r="B33" s="24"/>
      <c r="C33" s="25"/>
      <c r="D33" s="25"/>
      <c r="E33" s="25"/>
      <c r="F33" s="25"/>
      <c r="G33" s="25"/>
      <c r="H33" s="25"/>
      <c r="I33" s="17"/>
      <c r="J33" s="17"/>
      <c r="K33" s="17"/>
      <c r="L33" s="22"/>
      <c r="M33" s="22"/>
      <c r="N33" s="23"/>
    </row>
    <row r="34" spans="1:14" s="2" customFormat="1" ht="18.75" x14ac:dyDescent="0.3">
      <c r="A34" s="14" t="s">
        <v>60</v>
      </c>
      <c r="B34" s="26">
        <f>B31/B32</f>
        <v>1</v>
      </c>
      <c r="C34" s="4" t="s">
        <v>61</v>
      </c>
      <c r="D34" s="4"/>
      <c r="E34" s="4"/>
      <c r="F34" s="4"/>
      <c r="G34" s="4"/>
      <c r="I34" s="17"/>
      <c r="J34" s="17"/>
      <c r="K34" s="17"/>
      <c r="L34" s="22"/>
      <c r="M34" s="22"/>
      <c r="N34" s="23"/>
    </row>
    <row r="35" spans="1:14" s="2" customFormat="1" ht="19.5" customHeight="1" x14ac:dyDescent="0.3">
      <c r="A35" s="14"/>
      <c r="B35" s="18"/>
      <c r="G35" s="4"/>
      <c r="I35" s="17"/>
      <c r="J35" s="17"/>
      <c r="K35" s="17"/>
      <c r="L35" s="22"/>
      <c r="M35" s="22"/>
      <c r="N35" s="23"/>
    </row>
    <row r="36" spans="1:14" s="2" customFormat="1" ht="27" customHeight="1" x14ac:dyDescent="0.4">
      <c r="A36" s="27" t="s">
        <v>62</v>
      </c>
      <c r="B36" s="28">
        <v>50</v>
      </c>
      <c r="C36" s="4"/>
      <c r="D36" s="319" t="s">
        <v>63</v>
      </c>
      <c r="E36" s="337"/>
      <c r="F36" s="319" t="s">
        <v>64</v>
      </c>
      <c r="G36" s="320"/>
      <c r="J36" s="17"/>
      <c r="K36" s="17"/>
      <c r="L36" s="22"/>
      <c r="M36" s="22"/>
      <c r="N36" s="23"/>
    </row>
    <row r="37" spans="1:14" s="2" customFormat="1" ht="27" customHeight="1" x14ac:dyDescent="0.4">
      <c r="A37" s="29" t="s">
        <v>65</v>
      </c>
      <c r="B37" s="30">
        <v>1</v>
      </c>
      <c r="C37" s="31" t="s">
        <v>66</v>
      </c>
      <c r="D37" s="32" t="s">
        <v>67</v>
      </c>
      <c r="E37" s="33" t="s">
        <v>68</v>
      </c>
      <c r="F37" s="32" t="s">
        <v>67</v>
      </c>
      <c r="G37" s="34" t="s">
        <v>68</v>
      </c>
      <c r="I37" s="35" t="s">
        <v>69</v>
      </c>
      <c r="J37" s="17"/>
      <c r="K37" s="17"/>
      <c r="L37" s="22"/>
      <c r="M37" s="22"/>
      <c r="N37" s="23"/>
    </row>
    <row r="38" spans="1:14" s="2" customFormat="1" ht="26.25" customHeight="1" x14ac:dyDescent="0.4">
      <c r="A38" s="29" t="s">
        <v>70</v>
      </c>
      <c r="B38" s="30">
        <v>1</v>
      </c>
      <c r="C38" s="36">
        <v>1</v>
      </c>
      <c r="D38" s="37">
        <v>8236213</v>
      </c>
      <c r="E38" s="38">
        <f>IF(ISBLANK(D38),"-",$D$48/$D$45*D38)</f>
        <v>9459938.9755532369</v>
      </c>
      <c r="F38" s="37">
        <v>7247942</v>
      </c>
      <c r="G38" s="39">
        <f>IF(ISBLANK(F38),"-",$D$48/$F$45*F38)</f>
        <v>9350416.9018910509</v>
      </c>
      <c r="I38" s="40"/>
      <c r="J38" s="17"/>
      <c r="K38" s="17"/>
      <c r="L38" s="22"/>
      <c r="M38" s="22"/>
      <c r="N38" s="23"/>
    </row>
    <row r="39" spans="1:14" s="2" customFormat="1" ht="26.25" customHeight="1" x14ac:dyDescent="0.4">
      <c r="A39" s="29" t="s">
        <v>71</v>
      </c>
      <c r="B39" s="30">
        <v>1</v>
      </c>
      <c r="C39" s="41">
        <v>2</v>
      </c>
      <c r="D39" s="42">
        <v>8229505</v>
      </c>
      <c r="E39" s="43">
        <f>IF(ISBLANK(D39),"-",$D$48/$D$45*D39)</f>
        <v>9452234.3095073234</v>
      </c>
      <c r="F39" s="42">
        <v>7252861</v>
      </c>
      <c r="G39" s="44">
        <f>IF(ISBLANK(F39),"-",$D$48/$F$45*F39)</f>
        <v>9356762.7999046389</v>
      </c>
      <c r="I39" s="321">
        <f>ABS((F43/D43*D42)-F42)/D42</f>
        <v>8.9710112653228324E-3</v>
      </c>
      <c r="J39" s="17"/>
      <c r="K39" s="17"/>
      <c r="L39" s="22"/>
      <c r="M39" s="22"/>
      <c r="N39" s="23"/>
    </row>
    <row r="40" spans="1:14" ht="26.25" customHeight="1" x14ac:dyDescent="0.4">
      <c r="A40" s="29" t="s">
        <v>72</v>
      </c>
      <c r="B40" s="30">
        <v>1</v>
      </c>
      <c r="C40" s="41">
        <v>3</v>
      </c>
      <c r="D40" s="42">
        <v>8221872</v>
      </c>
      <c r="E40" s="43">
        <f>IF(ISBLANK(D40),"-",$D$48/$D$45*D40)</f>
        <v>9443467.208146492</v>
      </c>
      <c r="F40" s="42">
        <v>7257497</v>
      </c>
      <c r="G40" s="44">
        <f>IF(ISBLANK(F40),"-",$D$48/$F$45*F40)</f>
        <v>9362743.6055950224</v>
      </c>
      <c r="I40" s="321"/>
      <c r="L40" s="22"/>
      <c r="M40" s="22"/>
      <c r="N40" s="45"/>
    </row>
    <row r="41" spans="1:14" ht="27" customHeight="1" x14ac:dyDescent="0.4">
      <c r="A41" s="29" t="s">
        <v>73</v>
      </c>
      <c r="B41" s="30">
        <v>1</v>
      </c>
      <c r="C41" s="46">
        <v>4</v>
      </c>
      <c r="D41" s="47"/>
      <c r="E41" s="48" t="str">
        <f>IF(ISBLANK(D41),"-",$D$48/$D$45*D41)</f>
        <v>-</v>
      </c>
      <c r="F41" s="47"/>
      <c r="G41" s="49" t="str">
        <f>IF(ISBLANK(F41),"-",$D$48/$F$45*F41)</f>
        <v>-</v>
      </c>
      <c r="I41" s="50"/>
      <c r="L41" s="22"/>
      <c r="M41" s="22"/>
      <c r="N41" s="45"/>
    </row>
    <row r="42" spans="1:14" ht="27" customHeight="1" x14ac:dyDescent="0.4">
      <c r="A42" s="29" t="s">
        <v>74</v>
      </c>
      <c r="B42" s="30">
        <v>1</v>
      </c>
      <c r="C42" s="51" t="s">
        <v>75</v>
      </c>
      <c r="D42" s="52">
        <f>AVERAGE(D38:D41)</f>
        <v>8229196.666666667</v>
      </c>
      <c r="E42" s="53">
        <f>AVERAGE(E38:E41)</f>
        <v>9451880.1644023508</v>
      </c>
      <c r="F42" s="52">
        <f>AVERAGE(F38:F41)</f>
        <v>7252766.666666667</v>
      </c>
      <c r="G42" s="54">
        <f>AVERAGE(G38:G41)</f>
        <v>9356641.1024635714</v>
      </c>
      <c r="H42" s="55"/>
    </row>
    <row r="43" spans="1:14" ht="26.25" customHeight="1" x14ac:dyDescent="0.4">
      <c r="A43" s="29" t="s">
        <v>76</v>
      </c>
      <c r="B43" s="30">
        <v>1</v>
      </c>
      <c r="C43" s="56" t="s">
        <v>77</v>
      </c>
      <c r="D43" s="57">
        <v>21.79</v>
      </c>
      <c r="E43" s="45"/>
      <c r="F43" s="57">
        <v>19.399999999999999</v>
      </c>
      <c r="H43" s="55"/>
    </row>
    <row r="44" spans="1:14" ht="26.25" customHeight="1" x14ac:dyDescent="0.4">
      <c r="A44" s="29" t="s">
        <v>78</v>
      </c>
      <c r="B44" s="30">
        <v>1</v>
      </c>
      <c r="C44" s="58" t="s">
        <v>79</v>
      </c>
      <c r="D44" s="59">
        <f>D43*$B$34</f>
        <v>21.79</v>
      </c>
      <c r="E44" s="60"/>
      <c r="F44" s="59">
        <f>F43*$B$34</f>
        <v>19.399999999999999</v>
      </c>
      <c r="H44" s="55"/>
    </row>
    <row r="45" spans="1:14" ht="19.5" customHeight="1" x14ac:dyDescent="0.3">
      <c r="A45" s="29" t="s">
        <v>80</v>
      </c>
      <c r="B45" s="61">
        <f>(B44/B43)*(B42/B41)*(B40/B39)*(B38/B37)*B36</f>
        <v>50</v>
      </c>
      <c r="C45" s="58" t="s">
        <v>81</v>
      </c>
      <c r="D45" s="62">
        <f>D44*$B$30/100</f>
        <v>21.766030999999998</v>
      </c>
      <c r="E45" s="63"/>
      <c r="F45" s="62">
        <f>F44*$B$30/100</f>
        <v>19.378659999999996</v>
      </c>
      <c r="H45" s="55"/>
    </row>
    <row r="46" spans="1:14" ht="19.5" customHeight="1" x14ac:dyDescent="0.3">
      <c r="A46" s="307" t="s">
        <v>82</v>
      </c>
      <c r="B46" s="308"/>
      <c r="C46" s="58" t="s">
        <v>83</v>
      </c>
      <c r="D46" s="64">
        <f>D45/$B$45</f>
        <v>0.43532061999999994</v>
      </c>
      <c r="E46" s="65"/>
      <c r="F46" s="66">
        <f>F45/$B$45</f>
        <v>0.38757319999999995</v>
      </c>
      <c r="H46" s="55"/>
    </row>
    <row r="47" spans="1:14" ht="27" customHeight="1" x14ac:dyDescent="0.4">
      <c r="A47" s="309"/>
      <c r="B47" s="310"/>
      <c r="C47" s="67" t="s">
        <v>84</v>
      </c>
      <c r="D47" s="68">
        <v>0.5</v>
      </c>
      <c r="E47" s="69"/>
      <c r="F47" s="65"/>
      <c r="H47" s="55"/>
    </row>
    <row r="48" spans="1:14" ht="18.75" x14ac:dyDescent="0.3">
      <c r="C48" s="70" t="s">
        <v>85</v>
      </c>
      <c r="D48" s="62">
        <f>D47*$B$45</f>
        <v>25</v>
      </c>
      <c r="F48" s="71"/>
      <c r="H48" s="55"/>
    </row>
    <row r="49" spans="1:12" ht="19.5" customHeight="1" x14ac:dyDescent="0.3">
      <c r="C49" s="72" t="s">
        <v>86</v>
      </c>
      <c r="D49" s="73">
        <f>D48/B34</f>
        <v>25</v>
      </c>
      <c r="F49" s="71"/>
      <c r="H49" s="55"/>
    </row>
    <row r="50" spans="1:12" ht="18.75" x14ac:dyDescent="0.3">
      <c r="C50" s="27" t="s">
        <v>87</v>
      </c>
      <c r="D50" s="74">
        <f>AVERAGE(E38:E41,G38:G41)</f>
        <v>9404260.6334329601</v>
      </c>
      <c r="F50" s="75"/>
      <c r="H50" s="55"/>
    </row>
    <row r="51" spans="1:12" ht="18.75" x14ac:dyDescent="0.3">
      <c r="C51" s="29" t="s">
        <v>88</v>
      </c>
      <c r="D51" s="76">
        <f>STDEV(E38:E41,G38:G41)/D50</f>
        <v>5.5899259328105475E-3</v>
      </c>
      <c r="F51" s="75"/>
      <c r="H51" s="55"/>
    </row>
    <row r="52" spans="1:12" ht="19.5" customHeight="1" x14ac:dyDescent="0.3">
      <c r="C52" s="77" t="s">
        <v>20</v>
      </c>
      <c r="D52" s="78">
        <f>COUNT(E38:E41,G38:G41)</f>
        <v>6</v>
      </c>
      <c r="F52" s="75"/>
    </row>
    <row r="54" spans="1:12" ht="18.75" x14ac:dyDescent="0.3">
      <c r="A54" s="79" t="s">
        <v>1</v>
      </c>
      <c r="B54" s="80" t="s">
        <v>89</v>
      </c>
    </row>
    <row r="55" spans="1:12" ht="18.75" x14ac:dyDescent="0.3">
      <c r="A55" s="4" t="s">
        <v>90</v>
      </c>
      <c r="B55" s="81" t="str">
        <f>B21</f>
        <v>Each capsule contains fluconazole 150 mg</v>
      </c>
    </row>
    <row r="56" spans="1:12" ht="26.25" customHeight="1" x14ac:dyDescent="0.4">
      <c r="A56" s="82" t="s">
        <v>91</v>
      </c>
      <c r="B56" s="83">
        <v>150</v>
      </c>
      <c r="C56" s="4" t="str">
        <f>B20</f>
        <v>Fluconazole USP</v>
      </c>
      <c r="H56" s="84"/>
    </row>
    <row r="57" spans="1:12" ht="18.75" x14ac:dyDescent="0.3">
      <c r="A57" s="81" t="s">
        <v>92</v>
      </c>
      <c r="B57" s="173">
        <f>'Uniformity (2)'!D43</f>
        <v>242.87749999999997</v>
      </c>
      <c r="H57" s="84"/>
    </row>
    <row r="58" spans="1:12" ht="19.5" customHeight="1" x14ac:dyDescent="0.3">
      <c r="H58" s="84"/>
    </row>
    <row r="59" spans="1:12" s="2" customFormat="1" ht="27" customHeight="1" x14ac:dyDescent="0.4">
      <c r="A59" s="27" t="s">
        <v>93</v>
      </c>
      <c r="B59" s="28">
        <v>200</v>
      </c>
      <c r="C59" s="4"/>
      <c r="D59" s="85" t="s">
        <v>94</v>
      </c>
      <c r="E59" s="86" t="s">
        <v>66</v>
      </c>
      <c r="F59" s="86" t="s">
        <v>67</v>
      </c>
      <c r="G59" s="86" t="s">
        <v>95</v>
      </c>
      <c r="H59" s="31" t="s">
        <v>96</v>
      </c>
      <c r="L59" s="17"/>
    </row>
    <row r="60" spans="1:12" s="2" customFormat="1" ht="26.25" customHeight="1" x14ac:dyDescent="0.4">
      <c r="A60" s="29" t="s">
        <v>97</v>
      </c>
      <c r="B60" s="30">
        <v>10</v>
      </c>
      <c r="C60" s="324" t="s">
        <v>98</v>
      </c>
      <c r="D60" s="327">
        <v>337.52</v>
      </c>
      <c r="E60" s="87">
        <v>1</v>
      </c>
      <c r="F60" s="88">
        <v>7714589</v>
      </c>
      <c r="G60" s="174">
        <f>IF(ISBLANK(F60),"-",(F60/$D$50*$D$47*$B$68)*($B$57/$D$60))</f>
        <v>147.576061955699</v>
      </c>
      <c r="H60" s="89">
        <f t="shared" ref="H60:H71" si="0">IF(ISBLANK(F60),"-",G60/$B$56)</f>
        <v>0.98384041303799341</v>
      </c>
      <c r="L60" s="17"/>
    </row>
    <row r="61" spans="1:12" s="2" customFormat="1" ht="26.25" customHeight="1" x14ac:dyDescent="0.4">
      <c r="A61" s="29" t="s">
        <v>99</v>
      </c>
      <c r="B61" s="30">
        <v>25</v>
      </c>
      <c r="C61" s="325"/>
      <c r="D61" s="328"/>
      <c r="E61" s="90">
        <v>2</v>
      </c>
      <c r="F61" s="42">
        <v>7708791</v>
      </c>
      <c r="G61" s="175">
        <f>IF(ISBLANK(F61),"-",(F61/$D$50*$D$47*$B$68)*($B$57/$D$60))</f>
        <v>147.46514924120197</v>
      </c>
      <c r="H61" s="91">
        <f t="shared" si="0"/>
        <v>0.98310099494134651</v>
      </c>
      <c r="L61" s="17"/>
    </row>
    <row r="62" spans="1:12" s="2" customFormat="1" ht="26.25" customHeight="1" x14ac:dyDescent="0.4">
      <c r="A62" s="29" t="s">
        <v>100</v>
      </c>
      <c r="B62" s="30">
        <v>1</v>
      </c>
      <c r="C62" s="325"/>
      <c r="D62" s="328"/>
      <c r="E62" s="90">
        <v>3</v>
      </c>
      <c r="F62" s="92">
        <v>7601386</v>
      </c>
      <c r="G62" s="175">
        <f>IF(ISBLANK(F62),"-",(F62/$D$50*$D$47*$B$68)*($B$57/$D$60))</f>
        <v>145.4105476371046</v>
      </c>
      <c r="H62" s="91">
        <f t="shared" si="0"/>
        <v>0.96940365091403069</v>
      </c>
      <c r="L62" s="17"/>
    </row>
    <row r="63" spans="1:12" ht="27" customHeight="1" x14ac:dyDescent="0.4">
      <c r="A63" s="29" t="s">
        <v>101</v>
      </c>
      <c r="B63" s="30">
        <v>1</v>
      </c>
      <c r="C63" s="335"/>
      <c r="D63" s="329"/>
      <c r="E63" s="93">
        <v>4</v>
      </c>
      <c r="F63" s="94"/>
      <c r="G63" s="175" t="str">
        <f>IF(ISBLANK(F63),"-",(F63/$D$50*$D$47*$B$68)*($B$57/$D$60))</f>
        <v>-</v>
      </c>
      <c r="H63" s="91" t="str">
        <f t="shared" si="0"/>
        <v>-</v>
      </c>
    </row>
    <row r="64" spans="1:12" ht="26.25" customHeight="1" x14ac:dyDescent="0.4">
      <c r="A64" s="29" t="s">
        <v>102</v>
      </c>
      <c r="B64" s="30">
        <v>1</v>
      </c>
      <c r="C64" s="324" t="s">
        <v>103</v>
      </c>
      <c r="D64" s="327">
        <v>319.66000000000003</v>
      </c>
      <c r="E64" s="87">
        <v>1</v>
      </c>
      <c r="F64" s="88">
        <v>7216978</v>
      </c>
      <c r="G64" s="176">
        <f>IF(ISBLANK(F64),"-",(F64/$D$50*$D$47*$B$68)*($B$57/$D$64))</f>
        <v>145.77052639211172</v>
      </c>
      <c r="H64" s="95">
        <f t="shared" si="0"/>
        <v>0.97180350928074477</v>
      </c>
    </row>
    <row r="65" spans="1:8" ht="26.25" customHeight="1" x14ac:dyDescent="0.4">
      <c r="A65" s="29" t="s">
        <v>104</v>
      </c>
      <c r="B65" s="30">
        <v>1</v>
      </c>
      <c r="C65" s="325"/>
      <c r="D65" s="328"/>
      <c r="E65" s="90">
        <v>2</v>
      </c>
      <c r="F65" s="42">
        <v>7179905</v>
      </c>
      <c r="G65" s="177">
        <f>IF(ISBLANK(F65),"-",(F65/$D$50*$D$47*$B$68)*($B$57/$D$64))</f>
        <v>145.02171563989177</v>
      </c>
      <c r="H65" s="96">
        <f t="shared" si="0"/>
        <v>0.96681143759927846</v>
      </c>
    </row>
    <row r="66" spans="1:8" ht="26.25" customHeight="1" x14ac:dyDescent="0.4">
      <c r="A66" s="29" t="s">
        <v>105</v>
      </c>
      <c r="B66" s="30">
        <v>1</v>
      </c>
      <c r="C66" s="325"/>
      <c r="D66" s="328"/>
      <c r="E66" s="90">
        <v>3</v>
      </c>
      <c r="F66" s="42">
        <v>7194785</v>
      </c>
      <c r="G66" s="177">
        <f>IF(ISBLANK(F66),"-",(F66/$D$50*$D$47*$B$68)*($B$57/$D$64))</f>
        <v>145.32226601329108</v>
      </c>
      <c r="H66" s="96">
        <f t="shared" si="0"/>
        <v>0.96881510675527394</v>
      </c>
    </row>
    <row r="67" spans="1:8" ht="27" customHeight="1" x14ac:dyDescent="0.4">
      <c r="A67" s="29" t="s">
        <v>106</v>
      </c>
      <c r="B67" s="30">
        <v>1</v>
      </c>
      <c r="C67" s="335"/>
      <c r="D67" s="329"/>
      <c r="E67" s="93">
        <v>4</v>
      </c>
      <c r="F67" s="94"/>
      <c r="G67" s="178" t="str">
        <f>IF(ISBLANK(F67),"-",(F67/$D$50*$D$47*$B$68)*($B$57/$D$64))</f>
        <v>-</v>
      </c>
      <c r="H67" s="97" t="str">
        <f t="shared" si="0"/>
        <v>-</v>
      </c>
    </row>
    <row r="68" spans="1:8" ht="26.25" customHeight="1" x14ac:dyDescent="0.4">
      <c r="A68" s="29" t="s">
        <v>107</v>
      </c>
      <c r="B68" s="98">
        <f>(B67/B66)*(B65/B64)*(B63/B62)*(B61/B60)*B59</f>
        <v>500</v>
      </c>
      <c r="C68" s="324" t="s">
        <v>108</v>
      </c>
      <c r="D68" s="327">
        <v>333.72</v>
      </c>
      <c r="E68" s="87">
        <v>1</v>
      </c>
      <c r="F68" s="88">
        <v>7449676</v>
      </c>
      <c r="G68" s="176">
        <f>IF(ISBLANK(F68),"-",(F68/$D$50*$D$47*$B$68)*($B$57/$D$68))</f>
        <v>144.13112807974508</v>
      </c>
      <c r="H68" s="91">
        <f t="shared" si="0"/>
        <v>0.96087418719830053</v>
      </c>
    </row>
    <row r="69" spans="1:8" ht="27" customHeight="1" x14ac:dyDescent="0.4">
      <c r="A69" s="77" t="s">
        <v>109</v>
      </c>
      <c r="B69" s="99">
        <f>(D47*B68)/B56*B57</f>
        <v>404.79583333333329</v>
      </c>
      <c r="C69" s="325"/>
      <c r="D69" s="328"/>
      <c r="E69" s="90">
        <v>2</v>
      </c>
      <c r="F69" s="42">
        <v>7487373</v>
      </c>
      <c r="G69" s="177">
        <f>IF(ISBLANK(F69),"-",(F69/$D$50*$D$47*$B$68)*($B$57/$D$68))</f>
        <v>144.86046330656865</v>
      </c>
      <c r="H69" s="91">
        <f t="shared" si="0"/>
        <v>0.96573642204379095</v>
      </c>
    </row>
    <row r="70" spans="1:8" ht="26.25" customHeight="1" x14ac:dyDescent="0.4">
      <c r="A70" s="330" t="s">
        <v>82</v>
      </c>
      <c r="B70" s="331"/>
      <c r="C70" s="325"/>
      <c r="D70" s="328"/>
      <c r="E70" s="90">
        <v>3</v>
      </c>
      <c r="F70" s="42">
        <v>7460108</v>
      </c>
      <c r="G70" s="177">
        <f>IF(ISBLANK(F70),"-",(F70/$D$50*$D$47*$B$68)*($B$57/$D$68))</f>
        <v>144.33295912959585</v>
      </c>
      <c r="H70" s="91">
        <f t="shared" si="0"/>
        <v>0.962219727530639</v>
      </c>
    </row>
    <row r="71" spans="1:8" ht="27" customHeight="1" x14ac:dyDescent="0.4">
      <c r="A71" s="332"/>
      <c r="B71" s="333"/>
      <c r="C71" s="326"/>
      <c r="D71" s="329"/>
      <c r="E71" s="93">
        <v>4</v>
      </c>
      <c r="F71" s="94"/>
      <c r="G71" s="178" t="str">
        <f>IF(ISBLANK(F71),"-",(F71/$D$50*$D$47*$B$68)*($B$57/$D$68))</f>
        <v>-</v>
      </c>
      <c r="H71" s="100" t="str">
        <f t="shared" si="0"/>
        <v>-</v>
      </c>
    </row>
    <row r="72" spans="1:8" ht="26.25" customHeight="1" x14ac:dyDescent="0.4">
      <c r="A72" s="101"/>
      <c r="B72" s="101"/>
      <c r="C72" s="101"/>
      <c r="D72" s="101"/>
      <c r="E72" s="101"/>
      <c r="F72" s="103" t="s">
        <v>75</v>
      </c>
      <c r="G72" s="183">
        <f>AVERAGE(G60:G71)</f>
        <v>145.5434241550233</v>
      </c>
      <c r="H72" s="104">
        <f>AVERAGE(H60:H71)</f>
        <v>0.9702894943668221</v>
      </c>
    </row>
    <row r="73" spans="1:8" ht="26.25" customHeight="1" x14ac:dyDescent="0.4">
      <c r="C73" s="101"/>
      <c r="D73" s="101"/>
      <c r="E73" s="101"/>
      <c r="F73" s="105" t="s">
        <v>88</v>
      </c>
      <c r="G73" s="179">
        <f>STDEV(G60:G71)/G72</f>
        <v>8.4643449898547541E-3</v>
      </c>
      <c r="H73" s="179">
        <f>STDEV(H60:H71)/H72</f>
        <v>8.4643449898547714E-3</v>
      </c>
    </row>
    <row r="74" spans="1:8" ht="27" customHeight="1" x14ac:dyDescent="0.4">
      <c r="A74" s="101"/>
      <c r="B74" s="101"/>
      <c r="C74" s="102"/>
      <c r="D74" s="102"/>
      <c r="E74" s="106"/>
      <c r="F74" s="107" t="s">
        <v>20</v>
      </c>
      <c r="G74" s="108">
        <f>COUNT(G60:G71)</f>
        <v>9</v>
      </c>
      <c r="H74" s="108">
        <f>COUNT(H60:H71)</f>
        <v>9</v>
      </c>
    </row>
    <row r="76" spans="1:8" ht="26.25" customHeight="1" x14ac:dyDescent="0.4">
      <c r="A76" s="13" t="s">
        <v>110</v>
      </c>
      <c r="B76" s="109" t="s">
        <v>111</v>
      </c>
      <c r="C76" s="311" t="str">
        <f>B20</f>
        <v>Fluconazole USP</v>
      </c>
      <c r="D76" s="311"/>
      <c r="E76" s="110" t="s">
        <v>112</v>
      </c>
      <c r="F76" s="110"/>
      <c r="G76" s="111">
        <f>H72</f>
        <v>0.9702894943668221</v>
      </c>
      <c r="H76" s="112"/>
    </row>
    <row r="77" spans="1:8" ht="18.75" x14ac:dyDescent="0.3">
      <c r="A77" s="12" t="s">
        <v>113</v>
      </c>
      <c r="B77" s="12" t="s">
        <v>114</v>
      </c>
    </row>
    <row r="78" spans="1:8" ht="18.75" x14ac:dyDescent="0.3">
      <c r="A78" s="12"/>
      <c r="B78" s="12"/>
    </row>
    <row r="79" spans="1:8" ht="26.25" customHeight="1" x14ac:dyDescent="0.4">
      <c r="A79" s="13" t="s">
        <v>4</v>
      </c>
      <c r="B79" s="334" t="str">
        <f>B26</f>
        <v>FLUCONAZOLE</v>
      </c>
      <c r="C79" s="334"/>
    </row>
    <row r="80" spans="1:8" ht="26.25" customHeight="1" x14ac:dyDescent="0.4">
      <c r="A80" s="14" t="s">
        <v>52</v>
      </c>
      <c r="B80" s="334" t="str">
        <f>B27</f>
        <v>F1-3</v>
      </c>
      <c r="C80" s="334"/>
    </row>
    <row r="81" spans="1:12" ht="27" customHeight="1" x14ac:dyDescent="0.4">
      <c r="A81" s="14" t="s">
        <v>6</v>
      </c>
      <c r="B81" s="113">
        <f>B28</f>
        <v>99.89</v>
      </c>
    </row>
    <row r="82" spans="1:12" s="2" customFormat="1" ht="27" customHeight="1" x14ac:dyDescent="0.4">
      <c r="A82" s="14" t="s">
        <v>53</v>
      </c>
      <c r="B82" s="16">
        <v>0</v>
      </c>
      <c r="C82" s="313" t="s">
        <v>54</v>
      </c>
      <c r="D82" s="314"/>
      <c r="E82" s="314"/>
      <c r="F82" s="314"/>
      <c r="G82" s="315"/>
      <c r="I82" s="17"/>
      <c r="J82" s="17"/>
      <c r="K82" s="17"/>
      <c r="L82" s="17"/>
    </row>
    <row r="83" spans="1:12" s="2" customFormat="1" ht="19.5" customHeight="1" x14ac:dyDescent="0.3">
      <c r="A83" s="14" t="s">
        <v>55</v>
      </c>
      <c r="B83" s="18">
        <f>B81-B82</f>
        <v>99.89</v>
      </c>
      <c r="C83" s="19"/>
      <c r="D83" s="19"/>
      <c r="E83" s="19"/>
      <c r="F83" s="19"/>
      <c r="G83" s="20"/>
      <c r="I83" s="17"/>
      <c r="J83" s="17"/>
      <c r="K83" s="17"/>
      <c r="L83" s="17"/>
    </row>
    <row r="84" spans="1:12" s="2" customFormat="1" ht="27" customHeight="1" x14ac:dyDescent="0.4">
      <c r="A84" s="14" t="s">
        <v>56</v>
      </c>
      <c r="B84" s="21">
        <v>1</v>
      </c>
      <c r="C84" s="316" t="s">
        <v>115</v>
      </c>
      <c r="D84" s="317"/>
      <c r="E84" s="317"/>
      <c r="F84" s="317"/>
      <c r="G84" s="317"/>
      <c r="H84" s="318"/>
      <c r="I84" s="17"/>
      <c r="J84" s="17"/>
      <c r="K84" s="17"/>
      <c r="L84" s="17"/>
    </row>
    <row r="85" spans="1:12" s="2" customFormat="1" ht="27" customHeight="1" x14ac:dyDescent="0.4">
      <c r="A85" s="14" t="s">
        <v>58</v>
      </c>
      <c r="B85" s="21">
        <v>1</v>
      </c>
      <c r="C85" s="316" t="s">
        <v>116</v>
      </c>
      <c r="D85" s="317"/>
      <c r="E85" s="317"/>
      <c r="F85" s="317"/>
      <c r="G85" s="317"/>
      <c r="H85" s="318"/>
      <c r="I85" s="17"/>
      <c r="J85" s="17"/>
      <c r="K85" s="17"/>
      <c r="L85" s="17"/>
    </row>
    <row r="86" spans="1:12" s="2" customFormat="1" ht="18.75" x14ac:dyDescent="0.3">
      <c r="A86" s="14"/>
      <c r="B86" s="24"/>
      <c r="C86" s="25"/>
      <c r="D86" s="25"/>
      <c r="E86" s="25"/>
      <c r="F86" s="25"/>
      <c r="G86" s="25"/>
      <c r="H86" s="25"/>
      <c r="I86" s="17"/>
      <c r="J86" s="17"/>
      <c r="K86" s="17"/>
      <c r="L86" s="17"/>
    </row>
    <row r="87" spans="1:12" s="2" customFormat="1" ht="18.75" x14ac:dyDescent="0.3">
      <c r="A87" s="14" t="s">
        <v>60</v>
      </c>
      <c r="B87" s="26">
        <f>B84/B85</f>
        <v>1</v>
      </c>
      <c r="C87" s="4" t="s">
        <v>61</v>
      </c>
      <c r="D87" s="4"/>
      <c r="E87" s="4"/>
      <c r="F87" s="4"/>
      <c r="G87" s="4"/>
      <c r="I87" s="17"/>
      <c r="J87" s="17"/>
      <c r="K87" s="17"/>
      <c r="L87" s="17"/>
    </row>
    <row r="88" spans="1:12" ht="19.5" customHeight="1" x14ac:dyDescent="0.3">
      <c r="A88" s="12"/>
      <c r="B88" s="12"/>
    </row>
    <row r="89" spans="1:12" ht="27" customHeight="1" x14ac:dyDescent="0.4">
      <c r="A89" s="27" t="s">
        <v>62</v>
      </c>
      <c r="B89" s="28">
        <v>50</v>
      </c>
      <c r="D89" s="114" t="s">
        <v>63</v>
      </c>
      <c r="E89" s="115"/>
      <c r="F89" s="319" t="s">
        <v>64</v>
      </c>
      <c r="G89" s="320"/>
    </row>
    <row r="90" spans="1:12" ht="27" customHeight="1" x14ac:dyDescent="0.4">
      <c r="A90" s="29" t="s">
        <v>65</v>
      </c>
      <c r="B90" s="30">
        <v>10</v>
      </c>
      <c r="C90" s="116" t="s">
        <v>66</v>
      </c>
      <c r="D90" s="32" t="s">
        <v>67</v>
      </c>
      <c r="E90" s="33" t="s">
        <v>68</v>
      </c>
      <c r="F90" s="32" t="s">
        <v>67</v>
      </c>
      <c r="G90" s="117" t="s">
        <v>68</v>
      </c>
      <c r="I90" s="35" t="s">
        <v>69</v>
      </c>
    </row>
    <row r="91" spans="1:12" ht="26.25" customHeight="1" x14ac:dyDescent="0.4">
      <c r="A91" s="29" t="s">
        <v>70</v>
      </c>
      <c r="B91" s="30">
        <v>25</v>
      </c>
      <c r="C91" s="118">
        <v>1</v>
      </c>
      <c r="D91" s="37">
        <v>4101840</v>
      </c>
      <c r="E91" s="38">
        <f>IF(ISBLANK(D91),"-",$D$101/$D$98*D91)</f>
        <v>3926071.7767056385</v>
      </c>
      <c r="F91" s="37">
        <v>3643273</v>
      </c>
      <c r="G91" s="39">
        <f>IF(ISBLANK(F91),"-",$D$101/$F$98*F91)</f>
        <v>3916757.9612487834</v>
      </c>
      <c r="I91" s="40"/>
    </row>
    <row r="92" spans="1:12" ht="26.25" customHeight="1" x14ac:dyDescent="0.4">
      <c r="A92" s="29" t="s">
        <v>71</v>
      </c>
      <c r="B92" s="30">
        <v>1</v>
      </c>
      <c r="C92" s="102">
        <v>2</v>
      </c>
      <c r="D92" s="42">
        <v>4123297</v>
      </c>
      <c r="E92" s="43">
        <f>IF(ISBLANK(D92),"-",$D$101/$D$98*D92)</f>
        <v>3946609.3213472562</v>
      </c>
      <c r="F92" s="42">
        <v>3642123</v>
      </c>
      <c r="G92" s="44">
        <f>IF(ISBLANK(F92),"-",$D$101/$F$98*F92)</f>
        <v>3915521.6356548914</v>
      </c>
      <c r="I92" s="321">
        <f>ABS((F96/D96*D95)-F95)/D95</f>
        <v>6.0745464461161502E-3</v>
      </c>
    </row>
    <row r="93" spans="1:12" ht="26.25" customHeight="1" x14ac:dyDescent="0.4">
      <c r="A93" s="29" t="s">
        <v>72</v>
      </c>
      <c r="B93" s="30">
        <v>1</v>
      </c>
      <c r="C93" s="102">
        <v>3</v>
      </c>
      <c r="D93" s="42">
        <v>4115007</v>
      </c>
      <c r="E93" s="43">
        <f>IF(ISBLANK(D93),"-",$D$101/$D$98*D93)</f>
        <v>3938674.5566980038</v>
      </c>
      <c r="F93" s="42">
        <v>3626279</v>
      </c>
      <c r="G93" s="44">
        <f>IF(ISBLANK(F93),"-",$D$101/$F$98*F93)</f>
        <v>3898488.2941682595</v>
      </c>
      <c r="I93" s="321"/>
    </row>
    <row r="94" spans="1:12" ht="27" customHeight="1" x14ac:dyDescent="0.4">
      <c r="A94" s="29" t="s">
        <v>73</v>
      </c>
      <c r="B94" s="30">
        <v>1</v>
      </c>
      <c r="C94" s="119">
        <v>4</v>
      </c>
      <c r="D94" s="47"/>
      <c r="E94" s="48" t="str">
        <f>IF(ISBLANK(D94),"-",$D$101/$D$98*D94)</f>
        <v>-</v>
      </c>
      <c r="F94" s="120"/>
      <c r="G94" s="49" t="str">
        <f>IF(ISBLANK(F94),"-",$D$101/$F$98*F94)</f>
        <v>-</v>
      </c>
      <c r="I94" s="50"/>
    </row>
    <row r="95" spans="1:12" ht="27" customHeight="1" x14ac:dyDescent="0.4">
      <c r="A95" s="29" t="s">
        <v>74</v>
      </c>
      <c r="B95" s="30">
        <v>1</v>
      </c>
      <c r="C95" s="121" t="s">
        <v>75</v>
      </c>
      <c r="D95" s="122">
        <f>AVERAGE(D91:D94)</f>
        <v>4113381.3333333335</v>
      </c>
      <c r="E95" s="53">
        <f>AVERAGE(E91:E94)</f>
        <v>3937118.5515836328</v>
      </c>
      <c r="F95" s="123">
        <f>AVERAGE(F91:F94)</f>
        <v>3637225</v>
      </c>
      <c r="G95" s="124">
        <f>AVERAGE(G91:G94)</f>
        <v>3910255.9636906446</v>
      </c>
    </row>
    <row r="96" spans="1:12" ht="26.25" customHeight="1" x14ac:dyDescent="0.4">
      <c r="A96" s="29" t="s">
        <v>76</v>
      </c>
      <c r="B96" s="15">
        <v>1</v>
      </c>
      <c r="C96" s="125" t="s">
        <v>117</v>
      </c>
      <c r="D96" s="126">
        <v>21.79</v>
      </c>
      <c r="E96" s="45"/>
      <c r="F96" s="57">
        <v>19.399999999999999</v>
      </c>
    </row>
    <row r="97" spans="1:10" ht="26.25" customHeight="1" x14ac:dyDescent="0.4">
      <c r="A97" s="29" t="s">
        <v>78</v>
      </c>
      <c r="B97" s="15">
        <v>1</v>
      </c>
      <c r="C97" s="127" t="s">
        <v>118</v>
      </c>
      <c r="D97" s="128">
        <f>D96*$B$87</f>
        <v>21.79</v>
      </c>
      <c r="E97" s="60"/>
      <c r="F97" s="59">
        <f>F96*$B$87</f>
        <v>19.399999999999999</v>
      </c>
    </row>
    <row r="98" spans="1:10" ht="19.5" customHeight="1" x14ac:dyDescent="0.3">
      <c r="A98" s="29" t="s">
        <v>80</v>
      </c>
      <c r="B98" s="129">
        <f>(B97/B96)*(B95/B94)*(B93/B92)*(B91/B90)*B89</f>
        <v>125</v>
      </c>
      <c r="C98" s="127" t="s">
        <v>119</v>
      </c>
      <c r="D98" s="130">
        <f>D97*$B$83/100</f>
        <v>21.766030999999998</v>
      </c>
      <c r="E98" s="63"/>
      <c r="F98" s="62">
        <f>F97*$B$83/100</f>
        <v>19.378659999999996</v>
      </c>
    </row>
    <row r="99" spans="1:10" ht="19.5" customHeight="1" x14ac:dyDescent="0.3">
      <c r="A99" s="307" t="s">
        <v>82</v>
      </c>
      <c r="B99" s="322"/>
      <c r="C99" s="127" t="s">
        <v>120</v>
      </c>
      <c r="D99" s="131">
        <f>D98/$B$98</f>
        <v>0.17412824799999999</v>
      </c>
      <c r="E99" s="63"/>
      <c r="F99" s="66">
        <f>F98/$B$98</f>
        <v>0.15502927999999996</v>
      </c>
      <c r="G99" s="132"/>
      <c r="H99" s="55"/>
    </row>
    <row r="100" spans="1:10" ht="19.5" customHeight="1" x14ac:dyDescent="0.3">
      <c r="A100" s="309"/>
      <c r="B100" s="323"/>
      <c r="C100" s="127" t="s">
        <v>84</v>
      </c>
      <c r="D100" s="133">
        <f>$B$56/$B$116</f>
        <v>0.16666666666666666</v>
      </c>
      <c r="F100" s="71"/>
      <c r="G100" s="134"/>
      <c r="H100" s="55"/>
    </row>
    <row r="101" spans="1:10" ht="18.75" x14ac:dyDescent="0.3">
      <c r="C101" s="127" t="s">
        <v>85</v>
      </c>
      <c r="D101" s="128">
        <f>D100*$B$98</f>
        <v>20.833333333333332</v>
      </c>
      <c r="F101" s="71"/>
      <c r="G101" s="132"/>
      <c r="H101" s="55"/>
    </row>
    <row r="102" spans="1:10" ht="19.5" customHeight="1" x14ac:dyDescent="0.3">
      <c r="C102" s="135" t="s">
        <v>86</v>
      </c>
      <c r="D102" s="136">
        <f>D101/B34</f>
        <v>20.833333333333332</v>
      </c>
      <c r="F102" s="75"/>
      <c r="G102" s="132"/>
      <c r="H102" s="55"/>
      <c r="J102" s="137"/>
    </row>
    <row r="103" spans="1:10" ht="18.75" x14ac:dyDescent="0.3">
      <c r="C103" s="138" t="s">
        <v>121</v>
      </c>
      <c r="D103" s="139">
        <f>AVERAGE(E91:E94,G91:G94)</f>
        <v>3923687.2576371389</v>
      </c>
      <c r="F103" s="75"/>
      <c r="G103" s="140"/>
      <c r="H103" s="55"/>
      <c r="J103" s="141"/>
    </row>
    <row r="104" spans="1:10" ht="18.75" x14ac:dyDescent="0.3">
      <c r="C104" s="105" t="s">
        <v>88</v>
      </c>
      <c r="D104" s="142">
        <f>STDEV(E91:E94,G91:G94)/D103</f>
        <v>4.4222927298179305E-3</v>
      </c>
      <c r="F104" s="75"/>
      <c r="G104" s="132"/>
      <c r="H104" s="55"/>
      <c r="J104" s="141"/>
    </row>
    <row r="105" spans="1:10" ht="19.5" customHeight="1" x14ac:dyDescent="0.3">
      <c r="C105" s="107" t="s">
        <v>20</v>
      </c>
      <c r="D105" s="143">
        <f>COUNT(E91:E94,G91:G94)</f>
        <v>6</v>
      </c>
      <c r="F105" s="75"/>
      <c r="G105" s="132"/>
      <c r="H105" s="55"/>
      <c r="J105" s="141"/>
    </row>
    <row r="106" spans="1:10" ht="19.5" customHeight="1" x14ac:dyDescent="0.3">
      <c r="A106" s="79"/>
      <c r="B106" s="79"/>
      <c r="C106" s="79"/>
      <c r="D106" s="79"/>
      <c r="E106" s="79"/>
    </row>
    <row r="107" spans="1:10" ht="26.25" customHeight="1" x14ac:dyDescent="0.4">
      <c r="A107" s="27" t="s">
        <v>122</v>
      </c>
      <c r="B107" s="28">
        <v>900</v>
      </c>
      <c r="C107" s="144" t="s">
        <v>41</v>
      </c>
      <c r="D107" s="145" t="s">
        <v>67</v>
      </c>
      <c r="E107" s="146" t="s">
        <v>123</v>
      </c>
      <c r="F107" s="147" t="s">
        <v>124</v>
      </c>
    </row>
    <row r="108" spans="1:10" ht="26.25" customHeight="1" x14ac:dyDescent="0.4">
      <c r="A108" s="29" t="s">
        <v>125</v>
      </c>
      <c r="B108" s="30">
        <v>1</v>
      </c>
      <c r="C108" s="148">
        <v>1</v>
      </c>
      <c r="D108" s="149">
        <v>3911323</v>
      </c>
      <c r="E108" s="180">
        <f t="shared" ref="E108:E113" si="1">IF(ISBLANK(D108),"-",D108/$D$103*$D$100*$B$116)</f>
        <v>149.52732250972323</v>
      </c>
      <c r="F108" s="150">
        <f t="shared" ref="F108:F113" si="2">IF(ISBLANK(D108), "-", E108/$B$56)</f>
        <v>0.99684881673148817</v>
      </c>
    </row>
    <row r="109" spans="1:10" ht="26.25" customHeight="1" x14ac:dyDescent="0.4">
      <c r="A109" s="29" t="s">
        <v>99</v>
      </c>
      <c r="B109" s="30">
        <v>1</v>
      </c>
      <c r="C109" s="148">
        <v>2</v>
      </c>
      <c r="D109" s="149">
        <v>3757076</v>
      </c>
      <c r="E109" s="181">
        <f t="shared" si="1"/>
        <v>143.63056048951745</v>
      </c>
      <c r="F109" s="151">
        <f t="shared" si="2"/>
        <v>0.95753706993011634</v>
      </c>
    </row>
    <row r="110" spans="1:10" ht="26.25" customHeight="1" x14ac:dyDescent="0.4">
      <c r="A110" s="29" t="s">
        <v>100</v>
      </c>
      <c r="B110" s="30">
        <v>1</v>
      </c>
      <c r="C110" s="148">
        <v>3</v>
      </c>
      <c r="D110" s="149">
        <v>3840856</v>
      </c>
      <c r="E110" s="181">
        <f t="shared" si="1"/>
        <v>146.83341514505591</v>
      </c>
      <c r="F110" s="151">
        <f t="shared" si="2"/>
        <v>0.97888943430037267</v>
      </c>
    </row>
    <row r="111" spans="1:10" ht="26.25" customHeight="1" x14ac:dyDescent="0.4">
      <c r="A111" s="29" t="s">
        <v>101</v>
      </c>
      <c r="B111" s="30">
        <v>1</v>
      </c>
      <c r="C111" s="148">
        <v>4</v>
      </c>
      <c r="D111" s="149">
        <v>3976914</v>
      </c>
      <c r="E111" s="181">
        <f t="shared" si="1"/>
        <v>152.03482358052082</v>
      </c>
      <c r="F111" s="151">
        <f t="shared" si="2"/>
        <v>1.0135654905368054</v>
      </c>
    </row>
    <row r="112" spans="1:10" ht="26.25" customHeight="1" x14ac:dyDescent="0.4">
      <c r="A112" s="29" t="s">
        <v>102</v>
      </c>
      <c r="B112" s="30">
        <v>1</v>
      </c>
      <c r="C112" s="148">
        <v>5</v>
      </c>
      <c r="D112" s="149">
        <v>3620882</v>
      </c>
      <c r="E112" s="181">
        <f t="shared" si="1"/>
        <v>138.42395286291918</v>
      </c>
      <c r="F112" s="151">
        <f t="shared" si="2"/>
        <v>0.9228263524194612</v>
      </c>
    </row>
    <row r="113" spans="1:10" ht="26.25" customHeight="1" x14ac:dyDescent="0.4">
      <c r="A113" s="29" t="s">
        <v>104</v>
      </c>
      <c r="B113" s="30">
        <v>1</v>
      </c>
      <c r="C113" s="152">
        <v>6</v>
      </c>
      <c r="D113" s="153">
        <v>3902953</v>
      </c>
      <c r="E113" s="182">
        <f t="shared" si="1"/>
        <v>149.20734287894194</v>
      </c>
      <c r="F113" s="154">
        <f t="shared" si="2"/>
        <v>0.99471561919294627</v>
      </c>
    </row>
    <row r="114" spans="1:10" ht="26.25" customHeight="1" x14ac:dyDescent="0.4">
      <c r="A114" s="29" t="s">
        <v>105</v>
      </c>
      <c r="B114" s="30">
        <v>1</v>
      </c>
      <c r="C114" s="148"/>
      <c r="D114" s="102"/>
      <c r="E114" s="3"/>
      <c r="F114" s="155"/>
    </row>
    <row r="115" spans="1:10" ht="26.25" customHeight="1" x14ac:dyDescent="0.4">
      <c r="A115" s="29" t="s">
        <v>106</v>
      </c>
      <c r="B115" s="30">
        <v>1</v>
      </c>
      <c r="C115" s="148"/>
      <c r="D115" s="156" t="s">
        <v>75</v>
      </c>
      <c r="E115" s="184">
        <f>AVERAGE(E108:E113)</f>
        <v>146.60956957777975</v>
      </c>
      <c r="F115" s="157">
        <f>AVERAGE(F108:F113)</f>
        <v>0.97739713051853172</v>
      </c>
    </row>
    <row r="116" spans="1:10" ht="27" customHeight="1" x14ac:dyDescent="0.4">
      <c r="A116" s="29" t="s">
        <v>107</v>
      </c>
      <c r="B116" s="61">
        <f>(B115/B114)*(B113/B112)*(B111/B110)*(B109/B108)*B107</f>
        <v>900</v>
      </c>
      <c r="C116" s="158"/>
      <c r="D116" s="121" t="s">
        <v>88</v>
      </c>
      <c r="E116" s="159">
        <f>STDEV(E108:E113)/E115</f>
        <v>3.3501909737058549E-2</v>
      </c>
      <c r="F116" s="159">
        <f>STDEV(F108:F113)/F115</f>
        <v>3.3501909737058536E-2</v>
      </c>
      <c r="I116" s="3"/>
    </row>
    <row r="117" spans="1:10" ht="27" customHeight="1" x14ac:dyDescent="0.4">
      <c r="A117" s="307" t="s">
        <v>82</v>
      </c>
      <c r="B117" s="308"/>
      <c r="C117" s="160"/>
      <c r="D117" s="161" t="s">
        <v>20</v>
      </c>
      <c r="E117" s="162">
        <f>COUNT(E108:E113)</f>
        <v>6</v>
      </c>
      <c r="F117" s="162">
        <f>COUNT(F108:F113)</f>
        <v>6</v>
      </c>
      <c r="I117" s="3"/>
      <c r="J117" s="141"/>
    </row>
    <row r="118" spans="1:10" ht="19.5" customHeight="1" x14ac:dyDescent="0.3">
      <c r="A118" s="309"/>
      <c r="B118" s="310"/>
      <c r="C118" s="3"/>
      <c r="D118" s="3"/>
      <c r="E118" s="3"/>
      <c r="F118" s="102"/>
      <c r="G118" s="3"/>
      <c r="H118" s="3"/>
      <c r="I118" s="3"/>
    </row>
    <row r="119" spans="1:10" ht="18.75" x14ac:dyDescent="0.3">
      <c r="A119" s="171"/>
      <c r="B119" s="25"/>
      <c r="C119" s="3"/>
      <c r="D119" s="3"/>
      <c r="E119" s="3"/>
      <c r="F119" s="102"/>
      <c r="G119" s="3"/>
      <c r="H119" s="3"/>
      <c r="I119" s="3"/>
    </row>
    <row r="120" spans="1:10" ht="26.25" customHeight="1" x14ac:dyDescent="0.4">
      <c r="A120" s="13" t="s">
        <v>110</v>
      </c>
      <c r="B120" s="109" t="s">
        <v>126</v>
      </c>
      <c r="C120" s="311" t="str">
        <f>B20</f>
        <v>Fluconazole USP</v>
      </c>
      <c r="D120" s="311"/>
      <c r="E120" s="110" t="s">
        <v>127</v>
      </c>
      <c r="F120" s="110"/>
      <c r="G120" s="111">
        <f>F115</f>
        <v>0.97739713051853172</v>
      </c>
      <c r="H120" s="3"/>
      <c r="I120" s="3"/>
    </row>
    <row r="121" spans="1:10" ht="19.5" customHeight="1" x14ac:dyDescent="0.3">
      <c r="A121" s="163"/>
      <c r="B121" s="163"/>
      <c r="C121" s="164"/>
      <c r="D121" s="164"/>
      <c r="E121" s="164"/>
      <c r="F121" s="164"/>
      <c r="G121" s="164"/>
      <c r="H121" s="164"/>
    </row>
    <row r="122" spans="1:10" ht="18.75" x14ac:dyDescent="0.3">
      <c r="B122" s="312" t="s">
        <v>26</v>
      </c>
      <c r="C122" s="312"/>
      <c r="E122" s="116" t="s">
        <v>27</v>
      </c>
      <c r="F122" s="165"/>
      <c r="G122" s="312" t="s">
        <v>28</v>
      </c>
      <c r="H122" s="312"/>
    </row>
    <row r="123" spans="1:10" ht="69.95" customHeight="1" x14ac:dyDescent="0.3">
      <c r="A123" s="166" t="s">
        <v>29</v>
      </c>
      <c r="B123" s="167"/>
      <c r="C123" s="167"/>
      <c r="E123" s="167"/>
      <c r="F123" s="3"/>
      <c r="G123" s="168"/>
      <c r="H123" s="168"/>
    </row>
    <row r="124" spans="1:10" ht="69.95" customHeight="1" x14ac:dyDescent="0.3">
      <c r="A124" s="166" t="s">
        <v>30</v>
      </c>
      <c r="B124" s="169"/>
      <c r="C124" s="169"/>
      <c r="E124" s="169"/>
      <c r="F124" s="3"/>
      <c r="G124" s="170"/>
      <c r="H124" s="170"/>
    </row>
    <row r="125" spans="1:10" ht="18.75" x14ac:dyDescent="0.3">
      <c r="A125" s="101"/>
      <c r="B125" s="101"/>
      <c r="C125" s="102"/>
      <c r="D125" s="102"/>
      <c r="E125" s="102"/>
      <c r="F125" s="106"/>
      <c r="G125" s="102"/>
      <c r="H125" s="102"/>
      <c r="I125" s="3"/>
    </row>
    <row r="126" spans="1:10" ht="18.75" x14ac:dyDescent="0.3">
      <c r="A126" s="101"/>
      <c r="B126" s="101"/>
      <c r="C126" s="102"/>
      <c r="D126" s="102"/>
      <c r="E126" s="102"/>
      <c r="F126" s="106"/>
      <c r="G126" s="102"/>
      <c r="H126" s="102"/>
      <c r="I126" s="3"/>
    </row>
    <row r="127" spans="1:10" ht="18.75" x14ac:dyDescent="0.3">
      <c r="A127" s="101"/>
      <c r="B127" s="101"/>
      <c r="C127" s="102"/>
      <c r="D127" s="102"/>
      <c r="E127" s="102"/>
      <c r="F127" s="106"/>
      <c r="G127" s="102"/>
      <c r="H127" s="102"/>
      <c r="I127" s="3"/>
    </row>
    <row r="128" spans="1:10" ht="18.75" x14ac:dyDescent="0.3">
      <c r="A128" s="101"/>
      <c r="B128" s="101"/>
      <c r="C128" s="102"/>
      <c r="D128" s="102"/>
      <c r="E128" s="102"/>
      <c r="F128" s="106"/>
      <c r="G128" s="102"/>
      <c r="H128" s="102"/>
      <c r="I128" s="3"/>
    </row>
    <row r="129" spans="1:9" ht="18.75" x14ac:dyDescent="0.3">
      <c r="A129" s="101"/>
      <c r="B129" s="101"/>
      <c r="C129" s="102"/>
      <c r="D129" s="102"/>
      <c r="E129" s="102"/>
      <c r="F129" s="106"/>
      <c r="G129" s="102"/>
      <c r="H129" s="102"/>
      <c r="I129" s="3"/>
    </row>
    <row r="130" spans="1:9" ht="18.75" x14ac:dyDescent="0.3">
      <c r="A130" s="101"/>
      <c r="B130" s="101"/>
      <c r="C130" s="102"/>
      <c r="D130" s="102"/>
      <c r="E130" s="102"/>
      <c r="F130" s="106"/>
      <c r="G130" s="102"/>
      <c r="H130" s="102"/>
      <c r="I130" s="3"/>
    </row>
    <row r="131" spans="1:9" ht="18.75" x14ac:dyDescent="0.3">
      <c r="A131" s="101"/>
      <c r="B131" s="101"/>
      <c r="C131" s="102"/>
      <c r="D131" s="102"/>
      <c r="E131" s="102"/>
      <c r="F131" s="106"/>
      <c r="G131" s="102"/>
      <c r="H131" s="102"/>
      <c r="I131" s="3"/>
    </row>
    <row r="132" spans="1:9" ht="18.75" x14ac:dyDescent="0.3">
      <c r="A132" s="101"/>
      <c r="B132" s="101"/>
      <c r="C132" s="102"/>
      <c r="D132" s="102"/>
      <c r="E132" s="102"/>
      <c r="F132" s="106"/>
      <c r="G132" s="102"/>
      <c r="H132" s="102"/>
      <c r="I132" s="3"/>
    </row>
    <row r="133" spans="1:9" ht="18.75" x14ac:dyDescent="0.3">
      <c r="A133" s="101"/>
      <c r="B133" s="101"/>
      <c r="C133" s="102"/>
      <c r="D133" s="102"/>
      <c r="E133" s="102"/>
      <c r="F133" s="106"/>
      <c r="G133" s="102"/>
      <c r="H133" s="102"/>
      <c r="I133" s="3"/>
    </row>
    <row r="250" spans="1:1" x14ac:dyDescent="0.25">
      <c r="A250" s="1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1"/>
  <sheetViews>
    <sheetView workbookViewId="0">
      <selection activeCell="F32" sqref="F32"/>
    </sheetView>
  </sheetViews>
  <sheetFormatPr defaultRowHeight="12.75" x14ac:dyDescent="0.2"/>
  <sheetData>
    <row r="31" spans="6:6" x14ac:dyDescent="0.2">
      <c r="F31">
        <f>200/200*10/25</f>
        <v>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SST (2)</vt:lpstr>
      <vt:lpstr>Uniformity (2)</vt:lpstr>
      <vt:lpstr>Fluconazole</vt:lpstr>
      <vt:lpstr>Sheet3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Muteru</cp:lastModifiedBy>
  <cp:lastPrinted>2016-07-20T07:40:11Z</cp:lastPrinted>
  <dcterms:created xsi:type="dcterms:W3CDTF">2005-07-05T10:19:27Z</dcterms:created>
  <dcterms:modified xsi:type="dcterms:W3CDTF">2016-07-22T12:04:37Z</dcterms:modified>
</cp:coreProperties>
</file>