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2"/>
  </bookViews>
  <sheets>
    <sheet name="SST" sheetId="1" r:id="rId1"/>
    <sheet name="Uniformity" sheetId="2" r:id="rId2"/>
    <sheet name="AMOXICILLIN" sheetId="3" r:id="rId3"/>
  </sheets>
  <calcPr calcId="145621"/>
  <fileRecoveryPr repairLoad="1"/>
</workbook>
</file>

<file path=xl/calcChain.xml><?xml version="1.0" encoding="utf-8"?>
<calcChain xmlns="http://schemas.openxmlformats.org/spreadsheetml/2006/main">
  <c r="C56" i="3" l="1"/>
  <c r="B31" i="1"/>
  <c r="B30" i="1"/>
  <c r="B21" i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5" i="3"/>
  <c r="B45" i="3"/>
  <c r="D48" i="3" s="1"/>
  <c r="F42" i="3"/>
  <c r="D42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I39" i="3" l="1"/>
  <c r="I92" i="3"/>
  <c r="D101" i="3"/>
  <c r="D102" i="3" s="1"/>
  <c r="D45" i="3"/>
  <c r="D46" i="3" s="1"/>
  <c r="F98" i="3"/>
  <c r="F99" i="3" s="1"/>
  <c r="D49" i="3"/>
  <c r="E40" i="3"/>
  <c r="F44" i="3"/>
  <c r="F45" i="3" s="1"/>
  <c r="F46" i="3" s="1"/>
  <c r="D43" i="2"/>
  <c r="E39" i="2" s="1"/>
  <c r="D97" i="3"/>
  <c r="D98" i="3" s="1"/>
  <c r="D99" i="3" s="1"/>
  <c r="E29" i="2" l="1"/>
  <c r="B57" i="3"/>
  <c r="B69" i="3" s="1"/>
  <c r="E25" i="2"/>
  <c r="E41" i="3"/>
  <c r="G94" i="3"/>
  <c r="G91" i="3"/>
  <c r="G39" i="3"/>
  <c r="E39" i="3"/>
  <c r="E38" i="3"/>
  <c r="G92" i="3"/>
  <c r="G41" i="3"/>
  <c r="G93" i="3"/>
  <c r="E93" i="3"/>
  <c r="E91" i="3"/>
  <c r="D48" i="2"/>
  <c r="B47" i="2"/>
  <c r="C48" i="2"/>
  <c r="C47" i="2"/>
  <c r="E40" i="2"/>
  <c r="E38" i="2"/>
  <c r="E36" i="2"/>
  <c r="E34" i="2"/>
  <c r="E32" i="2"/>
  <c r="E30" i="2"/>
  <c r="E28" i="2"/>
  <c r="E26" i="2"/>
  <c r="E24" i="2"/>
  <c r="E22" i="2"/>
  <c r="D47" i="2"/>
  <c r="E37" i="2"/>
  <c r="E35" i="2"/>
  <c r="E92" i="3"/>
  <c r="E31" i="2"/>
  <c r="E94" i="3"/>
  <c r="E21" i="2"/>
  <c r="G40" i="3"/>
  <c r="G38" i="3"/>
  <c r="E33" i="2"/>
  <c r="E23" i="2"/>
  <c r="E27" i="2"/>
  <c r="G95" i="3" l="1"/>
  <c r="E42" i="3"/>
  <c r="D50" i="3"/>
  <c r="D51" i="3" s="1"/>
  <c r="G42" i="3"/>
  <c r="E95" i="3"/>
  <c r="D105" i="3"/>
  <c r="D103" i="3"/>
  <c r="D52" i="3"/>
  <c r="G62" i="3" l="1"/>
  <c r="H62" i="3" s="1"/>
  <c r="G69" i="3"/>
  <c r="H69" i="3" s="1"/>
  <c r="G63" i="3"/>
  <c r="H63" i="3" s="1"/>
  <c r="G66" i="3"/>
  <c r="H66" i="3" s="1"/>
  <c r="G65" i="3"/>
  <c r="H65" i="3" s="1"/>
  <c r="G70" i="3"/>
  <c r="H70" i="3" s="1"/>
  <c r="G68" i="3"/>
  <c r="H68" i="3" s="1"/>
  <c r="G61" i="3"/>
  <c r="H61" i="3" s="1"/>
  <c r="G60" i="3"/>
  <c r="H60" i="3" s="1"/>
  <c r="G71" i="3"/>
  <c r="H71" i="3" s="1"/>
  <c r="G67" i="3"/>
  <c r="H67" i="3" s="1"/>
  <c r="G64" i="3"/>
  <c r="H64" i="3" s="1"/>
  <c r="E112" i="3"/>
  <c r="F112" i="3" s="1"/>
  <c r="E110" i="3"/>
  <c r="F110" i="3" s="1"/>
  <c r="E108" i="3"/>
  <c r="E111" i="3"/>
  <c r="F111" i="3" s="1"/>
  <c r="D104" i="3"/>
  <c r="E113" i="3"/>
  <c r="F113" i="3" s="1"/>
  <c r="E109" i="3"/>
  <c r="F109" i="3" s="1"/>
  <c r="G72" i="3" l="1"/>
  <c r="G73" i="3" s="1"/>
  <c r="G74" i="3"/>
  <c r="H72" i="3"/>
  <c r="H74" i="3"/>
  <c r="E115" i="3"/>
  <c r="E116" i="3" s="1"/>
  <c r="E117" i="3"/>
  <c r="F108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<sst xmlns="http://schemas.openxmlformats.org/spreadsheetml/2006/main" count="237" uniqueCount="135">
  <si>
    <t>HPLC System Suitability Report</t>
  </si>
  <si>
    <t>Analysis Data</t>
  </si>
  <si>
    <t>Assay</t>
  </si>
  <si>
    <t>Sample(s)</t>
  </si>
  <si>
    <t>Reference Substance:</t>
  </si>
  <si>
    <t>MYDAWA AMOXICILLIN 250 MG CAPSULES</t>
  </si>
  <si>
    <t>% age Purity:</t>
  </si>
  <si>
    <t>NDQD2016061217</t>
  </si>
  <si>
    <t>Weight (mg):</t>
  </si>
  <si>
    <t>Amoxicillin Trihydrate BP</t>
  </si>
  <si>
    <t>Standard Conc (mg/mL):</t>
  </si>
  <si>
    <t>Each capsule contains Amoxicillin (as Trihydrate) 250 mg.</t>
  </si>
  <si>
    <t>2016-06-23 15:17:36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</si>
  <si>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</si>
  <si>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</si>
  <si>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</si>
  <si>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</si>
  <si>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</si>
  <si>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</si>
  <si>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</si>
  <si>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</si>
  <si>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</si>
  <si>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</si>
  <si>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</si>
  <si>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</si>
  <si>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</si>
  <si>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</si>
  <si>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</si>
  <si>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</si>
  <si>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</si>
  <si>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</si>
  <si>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</si>
  <si>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</si>
  <si>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</si>
  <si>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</si>
  <si>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</si>
  <si>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</si>
  <si>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</si>
  <si>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</si>
  <si>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2016-06-24 21:22:56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</si>
  <si>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</si>
  <si>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</si>
  <si>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</si>
  <si>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</si>
  <si>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</si>
  <si>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</si>
  <si>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</si>
  <si>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</si>
  <si>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</si>
  <si>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</si>
  <si>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</si>
  <si>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</si>
  <si>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</si>
  <si>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</si>
  <si>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</si>
  <si>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</si>
  <si>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</si>
  <si>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</si>
  <si>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</si>
  <si>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</si>
  <si>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</si>
  <si>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</si>
  <si>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</si>
  <si>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</si>
  <si>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</si>
  <si>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</si>
  <si>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</si>
  <si>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</si>
  <si>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</si>
  <si>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</si>
  <si>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</si>
  <si>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</si>
  <si>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</si>
  <si>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</si>
  <si>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</si>
  <si>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</si>
  <si>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</si>
  <si>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</si>
  <si>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</si>
  <si>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</si>
  <si>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</si>
  <si>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</si>
  <si>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</si>
  <si>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</si>
  <si>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</si>
  <si>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</si>
  <si>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</si>
  <si>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</si>
  <si>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</si>
  <si>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</si>
  <si>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</si>
  <si>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</si>
  <si>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</si>
  <si>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</si>
  <si>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</si>
  <si>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</si>
  <si>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</si>
  <si>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</si>
  <si>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</si>
  <si>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</si>
  <si>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</si>
  <si>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</si>
  <si>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</si>
  <si>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</si>
  <si>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</si>
  <si>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</si>
  <si>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</si>
  <si>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</si>
  <si>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</si>
  <si>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</si>
  <si>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</si>
  <si>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</si>
  <si>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</si>
  <si>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</si>
  <si>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</si>
  <si>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</si>
  <si>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</si>
  <si>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</si>
  <si>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</si>
  <si>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</si>
  <si>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</si>
  <si>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</si>
  <si>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</si>
  <si>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</si>
  <si>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</si>
  <si>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</si>
  <si>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</si>
  <si>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</si>
  <si>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</si>
  <si>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A1-2</t>
  </si>
  <si>
    <t>MYDAWA AMOXICILLIN 250 mg CAPSULES</t>
  </si>
  <si>
    <t>NOT APPLICABLE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</si>
  <si>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2.5</t>
    </r>
  </si>
  <si>
    <r>
      <t xml:space="preserve">The RSD of the peak areas for </t>
    </r>
    <r>
      <rPr>
        <b/>
        <sz val="12"/>
        <color rgb="FF000000"/>
        <rFont val="Book Antiqua"/>
        <family val="1"/>
      </rPr>
      <t>five</t>
    </r>
    <r>
      <rPr>
        <sz val="12"/>
        <color rgb="FF000000"/>
        <rFont val="Book Antiqua"/>
        <family val="1"/>
      </rPr>
      <t xml:space="preserve"> replicate injections of  SST Std is </t>
    </r>
    <r>
      <rPr>
        <b/>
        <sz val="12"/>
        <color rgb="FF000000"/>
        <rFont val="Book Antiqua"/>
        <family val="1"/>
      </rPr>
      <t>less than 2.0%.</t>
    </r>
  </si>
  <si>
    <t>Determination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</si>
</sst>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protection locked="0"/>
    </xf>
    <xf numFmtId="0" fontId="7" fillId="3" borderId="55" xfId="0" applyFont="1" applyFill="1" applyBorder="1" applyAlignment="1" applyProtection="1">
      <alignment horizontal="center" vertical="center"/>
      <protection locked="0"/>
    </xf>
    <xf numFmtId="0" fontId="7" fillId="3" borderId="62" xfId="0" applyFont="1" applyFill="1" applyBorder="1" applyAlignment="1" applyProtection="1">
      <alignment horizontal="center" vertical="center"/>
      <protection locked="0"/>
    </xf>
    <xf numFmtId="0" fontId="7" fillId="3" borderId="43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3" borderId="46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24" fillId="3" borderId="38" xfId="0" applyFont="1" applyFill="1" applyBorder="1" applyAlignment="1" applyProtection="1">
      <alignment horizontal="center" vertical="center"/>
      <protection locked="0"/>
    </xf>
    <xf numFmtId="166" fontId="5" fillId="2" borderId="0" xfId="0" applyNumberFormat="1" applyFont="1" applyFill="1" applyAlignment="1">
      <alignment horizontal="center"/>
    </xf>
    <xf numFmtId="171" fontId="13" fillId="3" borderId="43" xfId="0" applyNumberFormat="1" applyFont="1" applyFill="1" applyBorder="1" applyAlignment="1" applyProtection="1">
      <alignment horizontal="center"/>
      <protection locked="0"/>
    </xf>
    <xf numFmtId="171" fontId="13" fillId="3" borderId="46" xfId="0" applyNumberFormat="1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53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66" fontId="12" fillId="6" borderId="56" xfId="0" applyNumberFormat="1" applyFont="1" applyFill="1" applyBorder="1" applyAlignment="1">
      <alignment horizontal="center"/>
    </xf>
    <xf numFmtId="166" fontId="12" fillId="6" borderId="48" xfId="0" applyNumberFormat="1" applyFont="1" applyFill="1" applyBorder="1" applyAlignment="1">
      <alignment horizontal="center"/>
    </xf>
    <xf numFmtId="166" fontId="12" fillId="6" borderId="57" xfId="0" applyNumberFormat="1" applyFont="1" applyFill="1" applyBorder="1" applyAlignment="1">
      <alignment horizontal="center"/>
    </xf>
    <xf numFmtId="166" fontId="12" fillId="6" borderId="32" xfId="0" applyNumberFormat="1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2" fontId="11" fillId="2" borderId="46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C28" sqref="C2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130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32.49</v>
      </c>
      <c r="C20" s="10"/>
      <c r="D20" s="10"/>
      <c r="E20" s="10"/>
    </row>
    <row r="21" spans="1:6" ht="16.5" customHeight="1" x14ac:dyDescent="0.3">
      <c r="A21" s="7" t="s">
        <v>10</v>
      </c>
      <c r="B21" s="345">
        <f>B20/25</f>
        <v>1.2996000000000001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161481287</v>
      </c>
      <c r="C24" s="18">
        <v>7104.65</v>
      </c>
      <c r="D24" s="19">
        <v>1.08</v>
      </c>
      <c r="E24" s="20">
        <v>5.04</v>
      </c>
    </row>
    <row r="25" spans="1:6" ht="16.5" customHeight="1" x14ac:dyDescent="0.3">
      <c r="A25" s="17">
        <v>2</v>
      </c>
      <c r="B25" s="18">
        <v>165529507</v>
      </c>
      <c r="C25" s="18">
        <v>7070.07</v>
      </c>
      <c r="D25" s="19">
        <v>1.08</v>
      </c>
      <c r="E25" s="19">
        <v>5.03</v>
      </c>
    </row>
    <row r="26" spans="1:6" ht="16.5" customHeight="1" x14ac:dyDescent="0.3">
      <c r="A26" s="17">
        <v>3</v>
      </c>
      <c r="B26" s="18">
        <v>161116129</v>
      </c>
      <c r="C26" s="18">
        <v>7070.88</v>
      </c>
      <c r="D26" s="19">
        <v>1.0900000000000001</v>
      </c>
      <c r="E26" s="19">
        <v>5.03</v>
      </c>
    </row>
    <row r="27" spans="1:6" ht="16.5" customHeight="1" x14ac:dyDescent="0.3">
      <c r="A27" s="17">
        <v>4</v>
      </c>
      <c r="B27" s="18">
        <v>165697587</v>
      </c>
      <c r="C27" s="18">
        <v>7105.61</v>
      </c>
      <c r="D27" s="19">
        <v>1.07</v>
      </c>
      <c r="E27" s="19">
        <v>5.04</v>
      </c>
    </row>
    <row r="28" spans="1:6" ht="16.5" customHeight="1" x14ac:dyDescent="0.3">
      <c r="A28" s="17">
        <v>5</v>
      </c>
      <c r="B28" s="18">
        <v>164022162</v>
      </c>
      <c r="C28" s="19">
        <v>7067.1</v>
      </c>
      <c r="D28" s="19">
        <v>1.08</v>
      </c>
      <c r="E28" s="19">
        <v>5.03</v>
      </c>
    </row>
    <row r="29" spans="1:6" ht="16.5" customHeight="1" x14ac:dyDescent="0.3">
      <c r="A29" s="17"/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AVERAGE(B24:B28)</f>
        <v>163569334.40000001</v>
      </c>
      <c r="C30" s="25">
        <f>AVERAGE(C24:C29)</f>
        <v>7083.6619999999994</v>
      </c>
      <c r="D30" s="26">
        <f>AVERAGE(D24:D29)</f>
        <v>1.08</v>
      </c>
      <c r="E30" s="26">
        <f>AVERAGE(E24:E29)</f>
        <v>5.0340000000000007</v>
      </c>
    </row>
    <row r="31" spans="1:6" ht="16.5" customHeight="1" x14ac:dyDescent="0.3">
      <c r="A31" s="27" t="s">
        <v>19</v>
      </c>
      <c r="B31" s="28">
        <f>(STDEV(B24:B28)/B30)</f>
        <v>1.330850916921592E-2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133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132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344" t="s">
        <v>131</v>
      </c>
      <c r="C45" s="336"/>
      <c r="D45" s="336"/>
      <c r="E45" s="337"/>
    </row>
    <row r="46" spans="1:6" ht="16.5" customHeight="1" x14ac:dyDescent="0.3">
      <c r="A46" s="17">
        <v>2</v>
      </c>
      <c r="B46" s="338"/>
      <c r="C46" s="339"/>
      <c r="D46" s="339"/>
      <c r="E46" s="340"/>
    </row>
    <row r="47" spans="1:6" ht="16.5" customHeight="1" x14ac:dyDescent="0.3">
      <c r="A47" s="17">
        <v>3</v>
      </c>
      <c r="B47" s="338"/>
      <c r="C47" s="339"/>
      <c r="D47" s="339"/>
      <c r="E47" s="340"/>
    </row>
    <row r="48" spans="1:6" ht="16.5" customHeight="1" x14ac:dyDescent="0.3">
      <c r="A48" s="17">
        <v>4</v>
      </c>
      <c r="B48" s="338"/>
      <c r="C48" s="339"/>
      <c r="D48" s="339"/>
      <c r="E48" s="340"/>
    </row>
    <row r="49" spans="1:7" ht="16.5" customHeight="1" x14ac:dyDescent="0.3">
      <c r="A49" s="17">
        <v>5</v>
      </c>
      <c r="B49" s="338"/>
      <c r="C49" s="339"/>
      <c r="D49" s="339"/>
      <c r="E49" s="340"/>
    </row>
    <row r="50" spans="1:7" ht="16.5" customHeight="1" x14ac:dyDescent="0.3">
      <c r="A50" s="17">
        <v>6</v>
      </c>
      <c r="B50" s="341"/>
      <c r="C50" s="342"/>
      <c r="D50" s="342"/>
      <c r="E50" s="343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8" t="s">
        <v>26</v>
      </c>
      <c r="C59" s="28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4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5" workbookViewId="0">
      <selection activeCell="H26" sqref="H26"/>
    </sheetView>
  </sheetViews>
  <sheetFormatPr defaultColWidth="9.109375" defaultRowHeight="15.6" x14ac:dyDescent="0.3"/>
  <cols>
    <col min="1" max="1" width="13.109375" style="22" customWidth="1"/>
    <col min="2" max="2" width="17.88671875" style="3" customWidth="1"/>
    <col min="3" max="3" width="18.88671875" style="22" customWidth="1"/>
    <col min="4" max="4" width="19.6640625" style="23" customWidth="1"/>
    <col min="5" max="5" width="18.44140625" style="22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</cols>
  <sheetData>
    <row r="1" spans="1:15" ht="13.8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3.8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3.8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3.8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3.8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3.8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3.8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94" t="s">
        <v>31</v>
      </c>
      <c r="B8" s="294"/>
      <c r="C8" s="294"/>
      <c r="D8" s="294"/>
      <c r="E8" s="294"/>
      <c r="F8" s="294"/>
      <c r="G8" s="29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95" t="s">
        <v>32</v>
      </c>
      <c r="B10" s="295"/>
      <c r="C10" s="295"/>
      <c r="D10" s="295"/>
      <c r="E10" s="295"/>
      <c r="F10" s="295"/>
      <c r="G10" s="29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89" t="s">
        <v>33</v>
      </c>
      <c r="B11" s="289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89" t="s">
        <v>34</v>
      </c>
      <c r="B12" s="289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89" t="s">
        <v>35</v>
      </c>
      <c r="B13" s="289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89" t="s">
        <v>36</v>
      </c>
      <c r="B14" s="289"/>
      <c r="C14" s="293" t="s">
        <v>11</v>
      </c>
      <c r="D14" s="293"/>
      <c r="E14" s="293"/>
      <c r="F14" s="293"/>
      <c r="G14" s="293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89" t="s">
        <v>37</v>
      </c>
      <c r="B15" s="289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89" t="s">
        <v>38</v>
      </c>
      <c r="B16" s="289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ht="14.4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90" t="s">
        <v>1</v>
      </c>
      <c r="B18" s="290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3.8" x14ac:dyDescent="0.3">
      <c r="A21" s="81">
        <v>1</v>
      </c>
      <c r="B21" s="82">
        <v>322.43</v>
      </c>
      <c r="C21" s="83">
        <v>65.319999999999993</v>
      </c>
      <c r="D21" s="84">
        <f t="shared" ref="D21:D40" si="0">B21-C21</f>
        <v>257.11</v>
      </c>
      <c r="E21" s="85">
        <f t="shared" ref="E21:E40" si="1">(D21-$D$43)/$D$43</f>
        <v>-9.2923241923590999E-2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3.8" x14ac:dyDescent="0.3">
      <c r="A22" s="86">
        <v>2</v>
      </c>
      <c r="B22" s="87">
        <v>367.43</v>
      </c>
      <c r="C22" s="88">
        <v>65.56</v>
      </c>
      <c r="D22" s="89">
        <f t="shared" si="0"/>
        <v>301.87</v>
      </c>
      <c r="E22" s="85">
        <f t="shared" si="1"/>
        <v>6.4988763410701936E-2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3.8" x14ac:dyDescent="0.3">
      <c r="A23" s="86">
        <v>3</v>
      </c>
      <c r="B23" s="87">
        <v>357.19</v>
      </c>
      <c r="C23" s="88">
        <v>64.28</v>
      </c>
      <c r="D23" s="89">
        <f t="shared" si="0"/>
        <v>292.90999999999997</v>
      </c>
      <c r="E23" s="85">
        <f t="shared" si="1"/>
        <v>3.3378138571665501E-2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3.8" x14ac:dyDescent="0.3">
      <c r="A24" s="86">
        <v>4</v>
      </c>
      <c r="B24" s="87">
        <v>345.19</v>
      </c>
      <c r="C24" s="88">
        <v>61.86</v>
      </c>
      <c r="D24" s="89">
        <f t="shared" si="0"/>
        <v>283.33</v>
      </c>
      <c r="E24" s="85">
        <f t="shared" si="1"/>
        <v>-4.1982861114334987E-4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3.8" x14ac:dyDescent="0.3">
      <c r="A25" s="86">
        <v>5</v>
      </c>
      <c r="B25" s="87">
        <v>335.32</v>
      </c>
      <c r="C25" s="88">
        <v>64.59</v>
      </c>
      <c r="D25" s="89">
        <f t="shared" si="0"/>
        <v>270.73</v>
      </c>
      <c r="E25" s="85">
        <f t="shared" si="1"/>
        <v>-4.4872269791038033E-2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3.8" x14ac:dyDescent="0.3">
      <c r="A26" s="86">
        <v>6</v>
      </c>
      <c r="B26" s="87">
        <v>356.7</v>
      </c>
      <c r="C26" s="88">
        <v>64</v>
      </c>
      <c r="D26" s="89">
        <f t="shared" si="0"/>
        <v>292.7</v>
      </c>
      <c r="E26" s="85">
        <f t="shared" si="1"/>
        <v>3.263726455200066E-2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3.8" x14ac:dyDescent="0.3">
      <c r="A27" s="86">
        <v>7</v>
      </c>
      <c r="B27" s="87">
        <v>374.7</v>
      </c>
      <c r="C27" s="88">
        <v>61.95</v>
      </c>
      <c r="D27" s="89">
        <f t="shared" si="0"/>
        <v>312.75</v>
      </c>
      <c r="E27" s="85">
        <f t="shared" si="1"/>
        <v>0.10337309357238886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3.8" x14ac:dyDescent="0.3">
      <c r="A28" s="86">
        <v>8</v>
      </c>
      <c r="B28" s="87">
        <v>318.25</v>
      </c>
      <c r="C28" s="88">
        <v>63.23</v>
      </c>
      <c r="D28" s="89">
        <f t="shared" si="0"/>
        <v>255.02</v>
      </c>
      <c r="E28" s="85">
        <f t="shared" si="1"/>
        <v>-0.10029670240501801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3.8" x14ac:dyDescent="0.3">
      <c r="A29" s="86">
        <v>9</v>
      </c>
      <c r="B29" s="87">
        <v>349.66</v>
      </c>
      <c r="C29" s="88">
        <v>63.02</v>
      </c>
      <c r="D29" s="89">
        <f t="shared" si="0"/>
        <v>286.64000000000004</v>
      </c>
      <c r="E29" s="85">
        <f t="shared" si="1"/>
        <v>1.125775712738478E-2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3.8" x14ac:dyDescent="0.3">
      <c r="A30" s="86">
        <v>10</v>
      </c>
      <c r="B30" s="90">
        <v>353.33</v>
      </c>
      <c r="C30" s="88">
        <v>64.98</v>
      </c>
      <c r="D30" s="89">
        <f t="shared" si="0"/>
        <v>288.34999999999997</v>
      </c>
      <c r="E30" s="85">
        <f t="shared" si="1"/>
        <v>1.7290588430370228E-2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3.8" x14ac:dyDescent="0.3">
      <c r="A31" s="86">
        <v>11</v>
      </c>
      <c r="B31" s="90">
        <v>351.97</v>
      </c>
      <c r="C31" s="88">
        <v>66.28</v>
      </c>
      <c r="D31" s="89">
        <f t="shared" si="0"/>
        <v>285.69000000000005</v>
      </c>
      <c r="E31" s="85">
        <f t="shared" si="1"/>
        <v>7.9061841812816391E-3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3.8" x14ac:dyDescent="0.3">
      <c r="A32" s="86">
        <v>12</v>
      </c>
      <c r="B32" s="90">
        <v>365.34</v>
      </c>
      <c r="C32" s="88">
        <v>63.13</v>
      </c>
      <c r="D32" s="89">
        <f t="shared" si="0"/>
        <v>302.20999999999998</v>
      </c>
      <c r="E32" s="85">
        <f t="shared" si="1"/>
        <v>6.618827372825456E-2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3.8" x14ac:dyDescent="0.3">
      <c r="A33" s="86">
        <v>13</v>
      </c>
      <c r="B33" s="90">
        <v>343.25</v>
      </c>
      <c r="C33" s="88">
        <v>64.540000000000006</v>
      </c>
      <c r="D33" s="89">
        <f t="shared" si="0"/>
        <v>278.70999999999998</v>
      </c>
      <c r="E33" s="85">
        <f t="shared" si="1"/>
        <v>-1.6719057043771461E-2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3.8" x14ac:dyDescent="0.3">
      <c r="A34" s="86">
        <v>14</v>
      </c>
      <c r="B34" s="90">
        <v>344.58</v>
      </c>
      <c r="C34" s="88">
        <v>66.36</v>
      </c>
      <c r="D34" s="89">
        <f t="shared" si="0"/>
        <v>278.21999999999997</v>
      </c>
      <c r="E34" s="85">
        <f t="shared" si="1"/>
        <v>-1.8447763089656292E-2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3.8" x14ac:dyDescent="0.3">
      <c r="A35" s="86">
        <v>15</v>
      </c>
      <c r="B35" s="90">
        <v>345.59</v>
      </c>
      <c r="C35" s="88">
        <v>66.95</v>
      </c>
      <c r="D35" s="89">
        <f t="shared" si="0"/>
        <v>278.64</v>
      </c>
      <c r="E35" s="85">
        <f t="shared" si="1"/>
        <v>-1.6966015050326407E-2</v>
      </c>
      <c r="G35" s="59"/>
      <c r="J35" s="59"/>
      <c r="K35" s="65"/>
      <c r="L35" s="60"/>
      <c r="N35" s="60"/>
    </row>
    <row r="36" spans="1:15" ht="13.8" x14ac:dyDescent="0.3">
      <c r="A36" s="86">
        <v>16</v>
      </c>
      <c r="B36" s="90">
        <v>313.06</v>
      </c>
      <c r="C36" s="88">
        <v>64.599999999999994</v>
      </c>
      <c r="D36" s="89">
        <f t="shared" si="0"/>
        <v>248.46</v>
      </c>
      <c r="E36" s="85">
        <f t="shared" si="1"/>
        <v>-0.12344019559074103</v>
      </c>
      <c r="G36" s="66"/>
      <c r="H36" s="66"/>
    </row>
    <row r="37" spans="1:15" ht="13.8" x14ac:dyDescent="0.3">
      <c r="A37" s="86">
        <v>17</v>
      </c>
      <c r="B37" s="90">
        <v>363.58</v>
      </c>
      <c r="C37" s="88">
        <v>64.540000000000006</v>
      </c>
      <c r="D37" s="89">
        <f t="shared" si="0"/>
        <v>299.03999999999996</v>
      </c>
      <c r="E37" s="85">
        <f t="shared" si="1"/>
        <v>5.5004604002836528E-2</v>
      </c>
    </row>
    <row r="38" spans="1:15" ht="13.8" x14ac:dyDescent="0.3">
      <c r="A38" s="86">
        <v>18</v>
      </c>
      <c r="B38" s="90">
        <v>343.08</v>
      </c>
      <c r="C38" s="88">
        <v>66.06</v>
      </c>
      <c r="D38" s="89">
        <f t="shared" si="0"/>
        <v>277.02</v>
      </c>
      <c r="E38" s="85">
        <f t="shared" si="1"/>
        <v>-2.2681328916312898E-2</v>
      </c>
    </row>
    <row r="39" spans="1:15" ht="13.8" x14ac:dyDescent="0.3">
      <c r="A39" s="86">
        <v>19</v>
      </c>
      <c r="B39" s="90">
        <v>346.06</v>
      </c>
      <c r="C39" s="88">
        <v>62.64</v>
      </c>
      <c r="D39" s="89">
        <f t="shared" si="0"/>
        <v>283.42</v>
      </c>
      <c r="E39" s="85">
        <f t="shared" si="1"/>
        <v>-1.0231117414398895E-4</v>
      </c>
    </row>
    <row r="40" spans="1:15" ht="14.25" customHeight="1" x14ac:dyDescent="0.3">
      <c r="A40" s="91">
        <v>20</v>
      </c>
      <c r="B40" s="92">
        <v>358.97</v>
      </c>
      <c r="C40" s="93">
        <v>62.81</v>
      </c>
      <c r="D40" s="94">
        <f t="shared" si="0"/>
        <v>296.16000000000003</v>
      </c>
      <c r="E40" s="95">
        <f t="shared" si="1"/>
        <v>4.4844046018860786E-2</v>
      </c>
    </row>
    <row r="41" spans="1:15" ht="14.25" customHeight="1" x14ac:dyDescent="0.3">
      <c r="B41" s="73"/>
      <c r="D41" s="61"/>
      <c r="G41" s="54"/>
    </row>
    <row r="42" spans="1:15" ht="14.4" x14ac:dyDescent="0.3">
      <c r="A42" s="96" t="s">
        <v>46</v>
      </c>
      <c r="B42" s="97">
        <f>SUM(B21:B40)</f>
        <v>6955.68</v>
      </c>
      <c r="C42" s="98">
        <f>SUM(C21:C40)</f>
        <v>1286.7</v>
      </c>
      <c r="D42" s="99">
        <f>SUM(D21:D40)</f>
        <v>5668.98</v>
      </c>
    </row>
    <row r="43" spans="1:15" ht="15.75" customHeight="1" x14ac:dyDescent="0.3">
      <c r="A43" s="100" t="s">
        <v>47</v>
      </c>
      <c r="B43" s="101">
        <f>AVERAGE(B21:B40)</f>
        <v>347.78399999999999</v>
      </c>
      <c r="C43" s="102">
        <f>AVERAGE(C21:C40)</f>
        <v>64.335000000000008</v>
      </c>
      <c r="D43" s="103">
        <f>AVERAGE(D21:D40)</f>
        <v>283.44899999999996</v>
      </c>
    </row>
    <row r="44" spans="1:15" ht="14.4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291">
        <f>D43</f>
        <v>283.44899999999996</v>
      </c>
      <c r="C47" s="107">
        <f>-(IF(D43&gt;300, 7.5%, 10%))</f>
        <v>-0.1</v>
      </c>
      <c r="D47" s="108">
        <f>IF(D43&lt;300, D43*0.9, D43*0.925)</f>
        <v>255.10409999999996</v>
      </c>
    </row>
    <row r="48" spans="1:15" ht="15.75" customHeight="1" x14ac:dyDescent="0.3">
      <c r="B48" s="292"/>
      <c r="C48" s="109">
        <f>+(IF(D43&gt;300, 7.5%, 10%))</f>
        <v>0.1</v>
      </c>
      <c r="D48" s="108">
        <f>IF(D43&lt;300, D43*1.1, D43*1.075)</f>
        <v>311.79389999999995</v>
      </c>
    </row>
    <row r="49" spans="1:7" ht="14.25" customHeight="1" x14ac:dyDescent="0.3">
      <c r="A49" s="110"/>
      <c r="D49" s="111"/>
    </row>
    <row r="50" spans="1:7" ht="15" customHeight="1" x14ac:dyDescent="0.3">
      <c r="B50" s="288" t="s">
        <v>26</v>
      </c>
      <c r="C50" s="288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7" zoomScale="70" zoomScaleNormal="70" zoomScalePageLayoutView="42" workbookViewId="0">
      <selection activeCell="E79" sqref="E79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24" t="s">
        <v>49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3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3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3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3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3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3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3">
      <c r="A8" s="325" t="s">
        <v>50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3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3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3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3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3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3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x14ac:dyDescent="0.35">
      <c r="A15" s="119"/>
    </row>
    <row r="16" spans="1:9" ht="19.5" customHeight="1" x14ac:dyDescent="0.35">
      <c r="A16" s="297" t="s">
        <v>31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3">
      <c r="A17" s="300" t="s">
        <v>51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5">
      <c r="A18" s="121" t="s">
        <v>33</v>
      </c>
      <c r="B18" s="335" t="s">
        <v>130</v>
      </c>
      <c r="C18" s="335"/>
      <c r="D18" s="281"/>
      <c r="E18" s="122"/>
      <c r="F18" s="123"/>
      <c r="G18" s="123"/>
      <c r="H18" s="123"/>
    </row>
    <row r="19" spans="1:14" ht="26.25" customHeight="1" x14ac:dyDescent="0.5">
      <c r="A19" s="121" t="s">
        <v>34</v>
      </c>
      <c r="B19" s="124" t="s">
        <v>7</v>
      </c>
      <c r="C19" s="286">
        <v>29</v>
      </c>
      <c r="D19" s="123"/>
      <c r="E19" s="123"/>
      <c r="F19" s="123"/>
      <c r="G19" s="123"/>
      <c r="H19" s="123"/>
    </row>
    <row r="20" spans="1:14" ht="26.25" customHeight="1" x14ac:dyDescent="0.5">
      <c r="A20" s="121" t="s">
        <v>35</v>
      </c>
      <c r="B20" s="301" t="s">
        <v>9</v>
      </c>
      <c r="C20" s="301"/>
      <c r="D20" s="123"/>
      <c r="E20" s="123"/>
      <c r="F20" s="123"/>
      <c r="G20" s="123"/>
      <c r="H20" s="123"/>
    </row>
    <row r="21" spans="1:14" ht="26.25" customHeight="1" x14ac:dyDescent="0.5">
      <c r="A21" s="121" t="s">
        <v>36</v>
      </c>
      <c r="B21" s="301" t="s">
        <v>11</v>
      </c>
      <c r="C21" s="301"/>
      <c r="D21" s="301"/>
      <c r="E21" s="301"/>
      <c r="F21" s="301"/>
      <c r="G21" s="301"/>
      <c r="H21" s="301"/>
      <c r="I21" s="125"/>
    </row>
    <row r="22" spans="1:14" ht="26.25" customHeight="1" x14ac:dyDescent="0.5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5">
      <c r="A23" s="121" t="s">
        <v>38</v>
      </c>
      <c r="B23" s="126">
        <v>42545.637233796297</v>
      </c>
      <c r="C23" s="123"/>
      <c r="D23" s="123"/>
      <c r="E23" s="123"/>
      <c r="F23" s="123"/>
      <c r="G23" s="123"/>
      <c r="H23" s="123"/>
    </row>
    <row r="24" spans="1:14" ht="18" x14ac:dyDescent="0.35">
      <c r="A24" s="121"/>
      <c r="B24" s="127"/>
    </row>
    <row r="25" spans="1:14" ht="18" x14ac:dyDescent="0.35">
      <c r="A25" s="128" t="s">
        <v>1</v>
      </c>
      <c r="B25" s="127"/>
    </row>
    <row r="26" spans="1:14" ht="26.25" customHeight="1" x14ac:dyDescent="0.45">
      <c r="A26" s="129" t="s">
        <v>4</v>
      </c>
      <c r="B26" s="296" t="s">
        <v>128</v>
      </c>
      <c r="C26" s="296"/>
    </row>
    <row r="27" spans="1:14" ht="26.25" customHeight="1" x14ac:dyDescent="0.5">
      <c r="A27" s="130" t="s">
        <v>52</v>
      </c>
      <c r="B27" s="302" t="s">
        <v>129</v>
      </c>
      <c r="C27" s="302"/>
    </row>
    <row r="28" spans="1:14" ht="27" customHeight="1" x14ac:dyDescent="0.45">
      <c r="A28" s="130" t="s">
        <v>6</v>
      </c>
      <c r="B28" s="131">
        <v>87.84</v>
      </c>
    </row>
    <row r="29" spans="1:14" s="14" customFormat="1" ht="27" customHeight="1" x14ac:dyDescent="0.5">
      <c r="A29" s="130" t="s">
        <v>53</v>
      </c>
      <c r="B29" s="132">
        <v>0</v>
      </c>
      <c r="C29" s="303" t="s">
        <v>54</v>
      </c>
      <c r="D29" s="304"/>
      <c r="E29" s="304"/>
      <c r="F29" s="304"/>
      <c r="G29" s="305"/>
      <c r="I29" s="133"/>
      <c r="J29" s="133"/>
      <c r="K29" s="133"/>
      <c r="L29" s="133"/>
    </row>
    <row r="30" spans="1:14" s="14" customFormat="1" ht="19.5" customHeight="1" x14ac:dyDescent="0.35">
      <c r="A30" s="130" t="s">
        <v>55</v>
      </c>
      <c r="B30" s="134">
        <f>B28-B29</f>
        <v>87.84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5">
      <c r="A31" s="130" t="s">
        <v>56</v>
      </c>
      <c r="B31" s="137">
        <v>1</v>
      </c>
      <c r="C31" s="306" t="s">
        <v>57</v>
      </c>
      <c r="D31" s="307"/>
      <c r="E31" s="307"/>
      <c r="F31" s="307"/>
      <c r="G31" s="307"/>
      <c r="H31" s="308"/>
      <c r="I31" s="133"/>
      <c r="J31" s="133"/>
      <c r="K31" s="133"/>
      <c r="L31" s="133"/>
    </row>
    <row r="32" spans="1:14" s="14" customFormat="1" ht="27" customHeight="1" x14ac:dyDescent="0.45">
      <c r="A32" s="130" t="s">
        <v>58</v>
      </c>
      <c r="B32" s="137">
        <v>1</v>
      </c>
      <c r="C32" s="306" t="s">
        <v>59</v>
      </c>
      <c r="D32" s="307"/>
      <c r="E32" s="307"/>
      <c r="F32" s="307"/>
      <c r="G32" s="307"/>
      <c r="H32" s="308"/>
      <c r="I32" s="133"/>
      <c r="J32" s="133"/>
      <c r="K32" s="133"/>
      <c r="L32" s="138"/>
      <c r="M32" s="138"/>
      <c r="N32" s="139"/>
    </row>
    <row r="33" spans="1:14" s="14" customFormat="1" ht="17.25" customHeight="1" x14ac:dyDescent="0.35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" x14ac:dyDescent="0.35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5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5">
      <c r="A36" s="143" t="s">
        <v>62</v>
      </c>
      <c r="B36" s="144">
        <v>25</v>
      </c>
      <c r="C36" s="120"/>
      <c r="D36" s="309" t="s">
        <v>63</v>
      </c>
      <c r="E36" s="310"/>
      <c r="F36" s="309" t="s">
        <v>64</v>
      </c>
      <c r="G36" s="311"/>
      <c r="J36" s="133"/>
      <c r="K36" s="133"/>
      <c r="L36" s="138"/>
      <c r="M36" s="138"/>
      <c r="N36" s="139"/>
    </row>
    <row r="37" spans="1:14" s="14" customFormat="1" ht="27" customHeight="1" x14ac:dyDescent="0.45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5">
      <c r="A38" s="145" t="s">
        <v>70</v>
      </c>
      <c r="B38" s="146">
        <v>1</v>
      </c>
      <c r="C38" s="152">
        <v>1</v>
      </c>
      <c r="D38" s="153">
        <v>168072190</v>
      </c>
      <c r="E38" s="154">
        <f>IF(ISBLANK(D38),"-",$D$48/$D$45*D38)</f>
        <v>147229158.29222497</v>
      </c>
      <c r="F38" s="153">
        <v>142158139</v>
      </c>
      <c r="G38" s="155">
        <f>IF(ISBLANK(F38),"-",$D$48/$F$45*F38)</f>
        <v>152850009.38444248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5">
      <c r="A39" s="145" t="s">
        <v>71</v>
      </c>
      <c r="B39" s="146">
        <v>1</v>
      </c>
      <c r="C39" s="157">
        <v>2</v>
      </c>
      <c r="D39" s="158">
        <v>170598473</v>
      </c>
      <c r="E39" s="159">
        <f>IF(ISBLANK(D39),"-",$D$48/$D$45*D39)</f>
        <v>149442150.93364862</v>
      </c>
      <c r="F39" s="158">
        <v>140272334</v>
      </c>
      <c r="G39" s="160">
        <f>IF(ISBLANK(F39),"-",$D$48/$F$45*F39)</f>
        <v>150822370.91101518</v>
      </c>
      <c r="I39" s="313">
        <f>ABS((F43/D43*D42)-F42)/D42</f>
        <v>1.4172554616079433E-2</v>
      </c>
      <c r="J39" s="133"/>
      <c r="K39" s="133"/>
      <c r="L39" s="138"/>
      <c r="M39" s="138"/>
      <c r="N39" s="139"/>
    </row>
    <row r="40" spans="1:14" ht="26.25" customHeight="1" x14ac:dyDescent="0.45">
      <c r="A40" s="145" t="s">
        <v>72</v>
      </c>
      <c r="B40" s="146">
        <v>1</v>
      </c>
      <c r="C40" s="157">
        <v>3</v>
      </c>
      <c r="D40" s="158">
        <v>170604110</v>
      </c>
      <c r="E40" s="159">
        <f>IF(ISBLANK(D40),"-",$D$48/$D$45*D40)</f>
        <v>149447088.87588221</v>
      </c>
      <c r="F40" s="158">
        <v>139699632</v>
      </c>
      <c r="G40" s="160">
        <f>IF(ISBLANK(F40),"-",$D$48/$F$45*F40)</f>
        <v>150206595.36210701</v>
      </c>
      <c r="I40" s="313"/>
      <c r="L40" s="138"/>
      <c r="M40" s="138"/>
      <c r="N40" s="161"/>
    </row>
    <row r="41" spans="1:14" ht="27" customHeight="1" x14ac:dyDescent="0.45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5">
      <c r="A42" s="145" t="s">
        <v>74</v>
      </c>
      <c r="B42" s="146">
        <v>1</v>
      </c>
      <c r="C42" s="167" t="s">
        <v>75</v>
      </c>
      <c r="D42" s="168">
        <f>AVERAGE(D38:D41)</f>
        <v>169758257.66666666</v>
      </c>
      <c r="E42" s="169">
        <f>AVERAGE(E38:E41)</f>
        <v>148706132.70058528</v>
      </c>
      <c r="F42" s="168">
        <f>AVERAGE(F38:F41)</f>
        <v>140710035</v>
      </c>
      <c r="G42" s="170">
        <f>AVERAGE(G38:G41)</f>
        <v>151292991.88585487</v>
      </c>
      <c r="H42" s="171"/>
    </row>
    <row r="43" spans="1:14" ht="26.25" customHeight="1" x14ac:dyDescent="0.45">
      <c r="A43" s="145" t="s">
        <v>76</v>
      </c>
      <c r="B43" s="146">
        <v>1</v>
      </c>
      <c r="C43" s="172" t="s">
        <v>77</v>
      </c>
      <c r="D43" s="173">
        <v>32.49</v>
      </c>
      <c r="E43" s="161"/>
      <c r="F43" s="173">
        <v>26.47</v>
      </c>
      <c r="H43" s="171"/>
    </row>
    <row r="44" spans="1:14" ht="26.25" customHeight="1" x14ac:dyDescent="0.45">
      <c r="A44" s="145" t="s">
        <v>78</v>
      </c>
      <c r="B44" s="146">
        <v>1</v>
      </c>
      <c r="C44" s="174" t="s">
        <v>79</v>
      </c>
      <c r="D44" s="175">
        <f>D43*$B$34</f>
        <v>32.49</v>
      </c>
      <c r="E44" s="176"/>
      <c r="F44" s="175">
        <f>F43*$B$34</f>
        <v>26.47</v>
      </c>
      <c r="H44" s="171"/>
    </row>
    <row r="45" spans="1:14" ht="19.5" customHeight="1" x14ac:dyDescent="0.35">
      <c r="A45" s="145" t="s">
        <v>80</v>
      </c>
      <c r="B45" s="177">
        <f>(B44/B43)*(B42/B41)*(B40/B39)*(B38/B37)*B36</f>
        <v>25</v>
      </c>
      <c r="C45" s="174" t="s">
        <v>81</v>
      </c>
      <c r="D45" s="178">
        <f>D44*$B$30/100</f>
        <v>28.539216</v>
      </c>
      <c r="E45" s="179"/>
      <c r="F45" s="178">
        <f>F44*$B$30/100</f>
        <v>23.251248</v>
      </c>
      <c r="H45" s="171"/>
    </row>
    <row r="46" spans="1:14" ht="19.5" customHeight="1" x14ac:dyDescent="0.35">
      <c r="A46" s="314" t="s">
        <v>82</v>
      </c>
      <c r="B46" s="315"/>
      <c r="C46" s="174" t="s">
        <v>83</v>
      </c>
      <c r="D46" s="180">
        <f>D45/$B$45</f>
        <v>1.14156864</v>
      </c>
      <c r="E46" s="181"/>
      <c r="F46" s="182">
        <f>F45/$B$45</f>
        <v>0.93004991999999997</v>
      </c>
      <c r="H46" s="171"/>
    </row>
    <row r="47" spans="1:14" ht="27" customHeight="1" x14ac:dyDescent="0.45">
      <c r="A47" s="316"/>
      <c r="B47" s="317"/>
      <c r="C47" s="183" t="s">
        <v>84</v>
      </c>
      <c r="D47" s="184">
        <v>1</v>
      </c>
      <c r="E47" s="185"/>
      <c r="F47" s="181"/>
      <c r="H47" s="171"/>
    </row>
    <row r="48" spans="1:14" ht="18" x14ac:dyDescent="0.35">
      <c r="C48" s="186" t="s">
        <v>85</v>
      </c>
      <c r="D48" s="178">
        <f>D47*$B$45</f>
        <v>25</v>
      </c>
      <c r="F48" s="187"/>
      <c r="H48" s="171"/>
    </row>
    <row r="49" spans="1:12" ht="19.5" customHeight="1" x14ac:dyDescent="0.35">
      <c r="C49" s="188" t="s">
        <v>86</v>
      </c>
      <c r="D49" s="189">
        <f>D48/B34</f>
        <v>25</v>
      </c>
      <c r="F49" s="187"/>
      <c r="H49" s="171"/>
    </row>
    <row r="50" spans="1:12" ht="18" x14ac:dyDescent="0.35">
      <c r="C50" s="143" t="s">
        <v>87</v>
      </c>
      <c r="D50" s="190">
        <f>AVERAGE(E38:E41,G38:G41)</f>
        <v>149999562.29322007</v>
      </c>
      <c r="F50" s="191"/>
      <c r="H50" s="171"/>
    </row>
    <row r="51" spans="1:12" ht="18" x14ac:dyDescent="0.35">
      <c r="C51" s="145" t="s">
        <v>88</v>
      </c>
      <c r="D51" s="192">
        <f>STDEV(E38:E41,G38:G41)/D50</f>
        <v>1.2341834176683166E-2</v>
      </c>
      <c r="F51" s="191"/>
      <c r="H51" s="171"/>
    </row>
    <row r="52" spans="1:12" ht="19.5" customHeight="1" x14ac:dyDescent="0.35">
      <c r="C52" s="193" t="s">
        <v>20</v>
      </c>
      <c r="D52" s="194">
        <f>COUNT(E38:E41,G38:G41)</f>
        <v>6</v>
      </c>
      <c r="F52" s="191"/>
    </row>
    <row r="54" spans="1:12" ht="18" x14ac:dyDescent="0.35">
      <c r="A54" s="195" t="s">
        <v>1</v>
      </c>
      <c r="B54" s="196" t="s">
        <v>89</v>
      </c>
    </row>
    <row r="55" spans="1:12" ht="18" x14ac:dyDescent="0.35">
      <c r="A55" s="120" t="s">
        <v>90</v>
      </c>
      <c r="B55" s="197" t="str">
        <f>B21</f>
        <v>Each capsule contains Amoxicillin (as Trihydrate) 250 mg.</v>
      </c>
    </row>
    <row r="56" spans="1:12" ht="26.25" customHeight="1" x14ac:dyDescent="0.45">
      <c r="A56" s="198" t="s">
        <v>91</v>
      </c>
      <c r="B56" s="199">
        <v>250</v>
      </c>
      <c r="C56" s="120" t="str">
        <f>B26</f>
        <v>AMOXICILLIN</v>
      </c>
      <c r="H56" s="200"/>
    </row>
    <row r="57" spans="1:12" ht="18" x14ac:dyDescent="0.35">
      <c r="A57" s="197" t="s">
        <v>92</v>
      </c>
      <c r="B57" s="282">
        <f>Uniformity!D43</f>
        <v>283.44899999999996</v>
      </c>
      <c r="H57" s="200"/>
    </row>
    <row r="58" spans="1:12" ht="19.5" customHeight="1" x14ac:dyDescent="0.35">
      <c r="H58" s="200"/>
    </row>
    <row r="59" spans="1:12" s="14" customFormat="1" ht="27" customHeight="1" x14ac:dyDescent="0.45">
      <c r="A59" s="143" t="s">
        <v>93</v>
      </c>
      <c r="B59" s="144">
        <v>250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5">
      <c r="A60" s="145" t="s">
        <v>97</v>
      </c>
      <c r="B60" s="146">
        <v>1</v>
      </c>
      <c r="C60" s="318" t="s">
        <v>98</v>
      </c>
      <c r="D60" s="321">
        <v>279.37</v>
      </c>
      <c r="E60" s="203">
        <v>1</v>
      </c>
      <c r="F60" s="204">
        <v>157041243</v>
      </c>
      <c r="G60" s="348">
        <f>IF(ISBLANK(F60),"-",(F60/$D$50*$D$47*$B$68)*($B$57/$D$60))</f>
        <v>265.5577023240794</v>
      </c>
      <c r="H60" s="205">
        <f t="shared" ref="H60:H71" si="0">IF(ISBLANK(F60),"-",G60/$B$56)</f>
        <v>1.0622308092963175</v>
      </c>
      <c r="L60" s="133"/>
    </row>
    <row r="61" spans="1:12" s="14" customFormat="1" ht="26.25" customHeight="1" x14ac:dyDescent="0.45">
      <c r="A61" s="145" t="s">
        <v>99</v>
      </c>
      <c r="B61" s="146">
        <v>1</v>
      </c>
      <c r="C61" s="319"/>
      <c r="D61" s="322"/>
      <c r="E61" s="206">
        <v>2</v>
      </c>
      <c r="F61" s="158">
        <v>160116801</v>
      </c>
      <c r="G61" s="349">
        <f>IF(ISBLANK(F61),"-",(F61/$D$50*$D$47*$B$68)*($B$57/$D$60))</f>
        <v>270.7584897111509</v>
      </c>
      <c r="H61" s="207">
        <f t="shared" si="0"/>
        <v>1.0830339588446036</v>
      </c>
      <c r="L61" s="133"/>
    </row>
    <row r="62" spans="1:12" s="14" customFormat="1" ht="26.25" customHeight="1" x14ac:dyDescent="0.45">
      <c r="A62" s="145" t="s">
        <v>100</v>
      </c>
      <c r="B62" s="146">
        <v>1</v>
      </c>
      <c r="C62" s="319"/>
      <c r="D62" s="322"/>
      <c r="E62" s="206">
        <v>3</v>
      </c>
      <c r="F62" s="208">
        <v>161869677</v>
      </c>
      <c r="G62" s="349">
        <f>IF(ISBLANK(F62),"-",(F62/$D$50*$D$47*$B$68)*($B$57/$D$60))</f>
        <v>273.72261374714714</v>
      </c>
      <c r="H62" s="207">
        <f t="shared" si="0"/>
        <v>1.0948904549885885</v>
      </c>
      <c r="L62" s="133"/>
    </row>
    <row r="63" spans="1:12" ht="27" customHeight="1" x14ac:dyDescent="0.45">
      <c r="A63" s="145" t="s">
        <v>101</v>
      </c>
      <c r="B63" s="146">
        <v>1</v>
      </c>
      <c r="C63" s="320"/>
      <c r="D63" s="323"/>
      <c r="E63" s="209">
        <v>4</v>
      </c>
      <c r="F63" s="210"/>
      <c r="G63" s="349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5">
      <c r="A64" s="145" t="s">
        <v>102</v>
      </c>
      <c r="B64" s="146">
        <v>1</v>
      </c>
      <c r="C64" s="318" t="s">
        <v>103</v>
      </c>
      <c r="D64" s="321">
        <v>277.91000000000003</v>
      </c>
      <c r="E64" s="203">
        <v>1</v>
      </c>
      <c r="F64" s="204">
        <v>160212969</v>
      </c>
      <c r="G64" s="350">
        <f>IF(ISBLANK(F64),"-",(F64/$D$50*$D$47*$B$68)*($B$57/$D$64))</f>
        <v>272.34439426035379</v>
      </c>
      <c r="H64" s="211">
        <f t="shared" si="0"/>
        <v>1.0893775770414151</v>
      </c>
    </row>
    <row r="65" spans="1:8" ht="26.25" customHeight="1" x14ac:dyDescent="0.45">
      <c r="A65" s="145" t="s">
        <v>104</v>
      </c>
      <c r="B65" s="146">
        <v>1</v>
      </c>
      <c r="C65" s="319"/>
      <c r="D65" s="322"/>
      <c r="E65" s="206">
        <v>2</v>
      </c>
      <c r="F65" s="158">
        <v>162462347</v>
      </c>
      <c r="G65" s="351">
        <f>IF(ISBLANK(F65),"-",(F65/$D$50*$D$47*$B$68)*($B$57/$D$64))</f>
        <v>276.1680890130088</v>
      </c>
      <c r="H65" s="212">
        <f t="shared" si="0"/>
        <v>1.1046723560520353</v>
      </c>
    </row>
    <row r="66" spans="1:8" ht="26.25" customHeight="1" x14ac:dyDescent="0.45">
      <c r="A66" s="145" t="s">
        <v>105</v>
      </c>
      <c r="B66" s="146">
        <v>1</v>
      </c>
      <c r="C66" s="319"/>
      <c r="D66" s="322"/>
      <c r="E66" s="206">
        <v>3</v>
      </c>
      <c r="F66" s="158">
        <v>158006247</v>
      </c>
      <c r="G66" s="351">
        <f>IF(ISBLANK(F66),"-",(F66/$D$50*$D$47*$B$68)*($B$57/$D$64))</f>
        <v>268.59321000765453</v>
      </c>
      <c r="H66" s="212">
        <f t="shared" si="0"/>
        <v>1.0743728400306181</v>
      </c>
    </row>
    <row r="67" spans="1:8" ht="27" customHeight="1" x14ac:dyDescent="0.45">
      <c r="A67" s="145" t="s">
        <v>106</v>
      </c>
      <c r="B67" s="146">
        <v>1</v>
      </c>
      <c r="C67" s="320"/>
      <c r="D67" s="323"/>
      <c r="E67" s="209">
        <v>4</v>
      </c>
      <c r="F67" s="210"/>
      <c r="G67" s="352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5">
      <c r="A68" s="145" t="s">
        <v>107</v>
      </c>
      <c r="B68" s="214">
        <f>(B67/B66)*(B65/B64)*(B63/B62)*(B61/B60)*B59</f>
        <v>250</v>
      </c>
      <c r="C68" s="318" t="s">
        <v>108</v>
      </c>
      <c r="D68" s="321">
        <v>281.41000000000003</v>
      </c>
      <c r="E68" s="203">
        <v>1</v>
      </c>
      <c r="F68" s="204">
        <v>162592144</v>
      </c>
      <c r="G68" s="350">
        <f>IF(ISBLANK(F68),"-",(F68/$D$50*$D$47*$B$68)*($B$57/$D$68))</f>
        <v>272.9511810038365</v>
      </c>
      <c r="H68" s="207">
        <f t="shared" si="0"/>
        <v>1.0918047240153459</v>
      </c>
    </row>
    <row r="69" spans="1:8" ht="27" customHeight="1" x14ac:dyDescent="0.5">
      <c r="A69" s="193" t="s">
        <v>109</v>
      </c>
      <c r="B69" s="215">
        <f>(D47*B68)/B56*B57</f>
        <v>283.44899999999996</v>
      </c>
      <c r="C69" s="319"/>
      <c r="D69" s="322"/>
      <c r="E69" s="206">
        <v>2</v>
      </c>
      <c r="F69" s="158">
        <v>160307302</v>
      </c>
      <c r="G69" s="351">
        <f>IF(ISBLANK(F69),"-",(F69/$D$50*$D$47*$B$68)*($B$57/$D$68))</f>
        <v>269.11550784666866</v>
      </c>
      <c r="H69" s="207">
        <f t="shared" si="0"/>
        <v>1.0764620313866746</v>
      </c>
    </row>
    <row r="70" spans="1:8" ht="26.25" customHeight="1" x14ac:dyDescent="0.45">
      <c r="A70" s="331" t="s">
        <v>82</v>
      </c>
      <c r="B70" s="332"/>
      <c r="C70" s="319"/>
      <c r="D70" s="322"/>
      <c r="E70" s="206">
        <v>3</v>
      </c>
      <c r="F70" s="158">
        <v>162567098</v>
      </c>
      <c r="G70" s="351">
        <f>IF(ISBLANK(F70),"-",(F70/$D$50*$D$47*$B$68)*($B$57/$D$68))</f>
        <v>272.9091350899858</v>
      </c>
      <c r="H70" s="207">
        <f t="shared" si="0"/>
        <v>1.0916365403599433</v>
      </c>
    </row>
    <row r="71" spans="1:8" ht="27" customHeight="1" x14ac:dyDescent="0.45">
      <c r="A71" s="333"/>
      <c r="B71" s="334"/>
      <c r="C71" s="330"/>
      <c r="D71" s="323"/>
      <c r="E71" s="209">
        <v>4</v>
      </c>
      <c r="F71" s="210"/>
      <c r="G71" s="352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5">
      <c r="A72" s="217"/>
      <c r="B72" s="217"/>
      <c r="C72" s="217"/>
      <c r="D72" s="217"/>
      <c r="E72" s="217"/>
      <c r="F72" s="219" t="s">
        <v>75</v>
      </c>
      <c r="G72" s="284">
        <f>AVERAGE(G60:G71)</f>
        <v>271.34670255598729</v>
      </c>
      <c r="H72" s="220">
        <f>AVERAGE(H60:H71)</f>
        <v>1.085386810223949</v>
      </c>
    </row>
    <row r="73" spans="1:8" ht="26.25" customHeight="1" x14ac:dyDescent="0.45">
      <c r="C73" s="217"/>
      <c r="D73" s="217"/>
      <c r="E73" s="217"/>
      <c r="F73" s="221" t="s">
        <v>88</v>
      </c>
      <c r="G73" s="283">
        <f>STDEV(G60:G71)/G72</f>
        <v>1.174977306600071E-2</v>
      </c>
      <c r="H73" s="283">
        <f>STDEV(H60:H71)/H72</f>
        <v>1.1749773066000752E-2</v>
      </c>
    </row>
    <row r="74" spans="1:8" ht="27" customHeight="1" x14ac:dyDescent="0.45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5">
      <c r="A76" s="129" t="s">
        <v>110</v>
      </c>
      <c r="B76" s="225" t="s">
        <v>111</v>
      </c>
      <c r="C76" s="326" t="str">
        <f>B20</f>
        <v>Amoxicillin Trihydrate BP</v>
      </c>
      <c r="D76" s="326"/>
      <c r="E76" s="226" t="s">
        <v>112</v>
      </c>
      <c r="F76" s="226"/>
      <c r="G76" s="227">
        <f>H72</f>
        <v>1.085386810223949</v>
      </c>
      <c r="H76" s="228"/>
    </row>
    <row r="77" spans="1:8" ht="18" x14ac:dyDescent="0.35">
      <c r="A77" s="128" t="s">
        <v>113</v>
      </c>
      <c r="B77" s="128" t="s">
        <v>114</v>
      </c>
    </row>
    <row r="78" spans="1:8" ht="18" x14ac:dyDescent="0.35">
      <c r="A78" s="128"/>
      <c r="B78" s="128"/>
    </row>
    <row r="79" spans="1:8" ht="26.25" customHeight="1" x14ac:dyDescent="0.45">
      <c r="A79" s="129" t="s">
        <v>4</v>
      </c>
      <c r="B79" s="312" t="str">
        <f>B26</f>
        <v>AMOXICILLIN</v>
      </c>
      <c r="C79" s="312"/>
    </row>
    <row r="80" spans="1:8" ht="26.25" customHeight="1" x14ac:dyDescent="0.45">
      <c r="A80" s="130" t="s">
        <v>52</v>
      </c>
      <c r="B80" s="312" t="str">
        <f>B27</f>
        <v>A1-2</v>
      </c>
      <c r="C80" s="312"/>
    </row>
    <row r="81" spans="1:12" ht="27" customHeight="1" x14ac:dyDescent="0.45">
      <c r="A81" s="130" t="s">
        <v>6</v>
      </c>
      <c r="B81" s="229">
        <f>B28</f>
        <v>87.84</v>
      </c>
    </row>
    <row r="82" spans="1:12" s="14" customFormat="1" ht="27" customHeight="1" x14ac:dyDescent="0.5">
      <c r="A82" s="130" t="s">
        <v>53</v>
      </c>
      <c r="B82" s="132">
        <v>0</v>
      </c>
      <c r="C82" s="303" t="s">
        <v>54</v>
      </c>
      <c r="D82" s="304"/>
      <c r="E82" s="304"/>
      <c r="F82" s="304"/>
      <c r="G82" s="305"/>
      <c r="I82" s="133"/>
      <c r="J82" s="133"/>
      <c r="K82" s="133"/>
      <c r="L82" s="133"/>
    </row>
    <row r="83" spans="1:12" s="14" customFormat="1" ht="19.5" customHeight="1" x14ac:dyDescent="0.35">
      <c r="A83" s="130" t="s">
        <v>55</v>
      </c>
      <c r="B83" s="134">
        <f>B81-B82</f>
        <v>87.84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5">
      <c r="A84" s="130" t="s">
        <v>56</v>
      </c>
      <c r="B84" s="137">
        <v>1</v>
      </c>
      <c r="C84" s="306" t="s">
        <v>115</v>
      </c>
      <c r="D84" s="307"/>
      <c r="E84" s="307"/>
      <c r="F84" s="307"/>
      <c r="G84" s="307"/>
      <c r="H84" s="308"/>
      <c r="I84" s="133"/>
      <c r="J84" s="133"/>
      <c r="K84" s="133"/>
      <c r="L84" s="133"/>
    </row>
    <row r="85" spans="1:12" s="14" customFormat="1" ht="27" customHeight="1" x14ac:dyDescent="0.45">
      <c r="A85" s="130" t="s">
        <v>58</v>
      </c>
      <c r="B85" s="137">
        <v>1</v>
      </c>
      <c r="C85" s="306" t="s">
        <v>116</v>
      </c>
      <c r="D85" s="307"/>
      <c r="E85" s="307"/>
      <c r="F85" s="307"/>
      <c r="G85" s="307"/>
      <c r="H85" s="308"/>
      <c r="I85" s="133"/>
      <c r="J85" s="133"/>
      <c r="K85" s="133"/>
      <c r="L85" s="133"/>
    </row>
    <row r="86" spans="1:12" s="14" customFormat="1" ht="18" x14ac:dyDescent="0.35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" x14ac:dyDescent="0.35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thickBot="1" x14ac:dyDescent="0.4">
      <c r="A88" s="128"/>
      <c r="B88" s="128"/>
    </row>
    <row r="89" spans="1:12" ht="27" customHeight="1" thickBot="1" x14ac:dyDescent="0.5">
      <c r="A89" s="143" t="s">
        <v>62</v>
      </c>
      <c r="B89" s="144">
        <v>20</v>
      </c>
      <c r="D89" s="309" t="s">
        <v>63</v>
      </c>
      <c r="E89" s="311"/>
      <c r="F89" s="309" t="s">
        <v>64</v>
      </c>
      <c r="G89" s="311"/>
    </row>
    <row r="90" spans="1:12" ht="27" customHeight="1" thickBot="1" x14ac:dyDescent="0.5">
      <c r="A90" s="145" t="s">
        <v>65</v>
      </c>
      <c r="B90" s="146">
        <v>10</v>
      </c>
      <c r="C90" s="230" t="s">
        <v>134</v>
      </c>
      <c r="D90" s="148" t="s">
        <v>67</v>
      </c>
      <c r="E90" s="149" t="s">
        <v>68</v>
      </c>
      <c r="F90" s="148" t="s">
        <v>67</v>
      </c>
      <c r="G90" s="231" t="s">
        <v>68</v>
      </c>
      <c r="I90" s="151" t="s">
        <v>69</v>
      </c>
    </row>
    <row r="91" spans="1:12" ht="26.25" customHeight="1" x14ac:dyDescent="0.45">
      <c r="A91" s="145" t="s">
        <v>70</v>
      </c>
      <c r="B91" s="146">
        <v>50</v>
      </c>
      <c r="C91" s="232">
        <v>1</v>
      </c>
      <c r="D91" s="153">
        <v>0.72099999999999997</v>
      </c>
      <c r="E91" s="154">
        <f>IF(ISBLANK(D91),"-",$D$101/$D$98*D91)</f>
        <v>0.82549940126219279</v>
      </c>
      <c r="F91" s="153">
        <v>0.63700000000000001</v>
      </c>
      <c r="G91" s="155">
        <f>IF(ISBLANK(F91),"-",$D$101/$F$98*F91)</f>
        <v>0.82862807870843891</v>
      </c>
      <c r="I91" s="156"/>
    </row>
    <row r="92" spans="1:12" ht="26.25" customHeight="1" x14ac:dyDescent="0.45">
      <c r="A92" s="145" t="s">
        <v>71</v>
      </c>
      <c r="B92" s="146">
        <v>1</v>
      </c>
      <c r="C92" s="218">
        <v>2</v>
      </c>
      <c r="D92" s="158">
        <v>0.71799999999999997</v>
      </c>
      <c r="E92" s="159">
        <f>IF(ISBLANK(D92),"-",$D$101/$D$98*D92)</f>
        <v>0.822064590993418</v>
      </c>
      <c r="F92" s="158">
        <v>0.63700000000000001</v>
      </c>
      <c r="G92" s="160">
        <f>IF(ISBLANK(F92),"-",$D$101/$F$98*F92)</f>
        <v>0.82862807870843891</v>
      </c>
      <c r="I92" s="313">
        <f>ABS((F96/D96*D95)-F95)/D95</f>
        <v>5.8462558527991072E-3</v>
      </c>
    </row>
    <row r="93" spans="1:12" ht="26.25" customHeight="1" x14ac:dyDescent="0.45">
      <c r="A93" s="145" t="s">
        <v>72</v>
      </c>
      <c r="B93" s="146">
        <v>1</v>
      </c>
      <c r="C93" s="218">
        <v>3</v>
      </c>
      <c r="D93" s="158">
        <v>0.71899999999999997</v>
      </c>
      <c r="E93" s="159">
        <f>IF(ISBLANK(D93),"-",$D$101/$D$98*D93)</f>
        <v>0.82320952774967626</v>
      </c>
      <c r="F93" s="158">
        <v>0.63800000000000001</v>
      </c>
      <c r="G93" s="160">
        <f>IF(ISBLANK(F93),"-",$D$101/$F$98*F93)</f>
        <v>0.82992890771740035</v>
      </c>
      <c r="I93" s="313"/>
    </row>
    <row r="94" spans="1:12" ht="27" customHeight="1" x14ac:dyDescent="0.45">
      <c r="A94" s="145" t="s">
        <v>73</v>
      </c>
      <c r="B94" s="146">
        <v>1</v>
      </c>
      <c r="C94" s="233">
        <v>4</v>
      </c>
      <c r="D94" s="163"/>
      <c r="E94" s="164" t="str">
        <f>IF(ISBLANK(D94),"-",$D$101/$D$98*D94)</f>
        <v>-</v>
      </c>
      <c r="F94" s="234"/>
      <c r="G94" s="165" t="str">
        <f>IF(ISBLANK(F94),"-",$D$101/$F$98*F94)</f>
        <v>-</v>
      </c>
      <c r="I94" s="166"/>
    </row>
    <row r="95" spans="1:12" ht="27" customHeight="1" x14ac:dyDescent="0.45">
      <c r="A95" s="145" t="s">
        <v>74</v>
      </c>
      <c r="B95" s="146">
        <v>1</v>
      </c>
      <c r="C95" s="235" t="s">
        <v>75</v>
      </c>
      <c r="D95" s="353">
        <f>AVERAGE(D91:D94)</f>
        <v>0.71933333333333327</v>
      </c>
      <c r="E95" s="354">
        <f>AVERAGE(E91:E94)</f>
        <v>0.82359117333509568</v>
      </c>
      <c r="F95" s="355">
        <f>AVERAGE(F91:F94)</f>
        <v>0.63733333333333331</v>
      </c>
      <c r="G95" s="356">
        <f>AVERAGE(G91:G94)</f>
        <v>0.82906168837809269</v>
      </c>
    </row>
    <row r="96" spans="1:12" ht="26.25" customHeight="1" x14ac:dyDescent="0.45">
      <c r="A96" s="145" t="s">
        <v>76</v>
      </c>
      <c r="B96" s="131">
        <v>1</v>
      </c>
      <c r="C96" s="236" t="s">
        <v>117</v>
      </c>
      <c r="D96" s="237">
        <v>27.62</v>
      </c>
      <c r="E96" s="161"/>
      <c r="F96" s="173">
        <v>24.31</v>
      </c>
    </row>
    <row r="97" spans="1:10" ht="26.25" customHeight="1" x14ac:dyDescent="0.45">
      <c r="A97" s="145" t="s">
        <v>78</v>
      </c>
      <c r="B97" s="131">
        <v>1</v>
      </c>
      <c r="C97" s="238" t="s">
        <v>118</v>
      </c>
      <c r="D97" s="239">
        <f>D96*$B$87</f>
        <v>27.62</v>
      </c>
      <c r="E97" s="176"/>
      <c r="F97" s="175">
        <f>F96*$B$87</f>
        <v>24.31</v>
      </c>
    </row>
    <row r="98" spans="1:10" ht="19.5" customHeight="1" x14ac:dyDescent="0.35">
      <c r="A98" s="145" t="s">
        <v>80</v>
      </c>
      <c r="B98" s="240">
        <f>(B97/B96)*(B95/B94)*(B93/B92)*(B91/B90)*B89</f>
        <v>100</v>
      </c>
      <c r="C98" s="238" t="s">
        <v>119</v>
      </c>
      <c r="D98" s="241">
        <f>D97*$B$83/100</f>
        <v>24.261408000000003</v>
      </c>
      <c r="E98" s="179"/>
      <c r="F98" s="178">
        <f>F97*$B$83/100</f>
        <v>21.353903999999996</v>
      </c>
    </row>
    <row r="99" spans="1:10" ht="19.5" customHeight="1" x14ac:dyDescent="0.35">
      <c r="A99" s="314" t="s">
        <v>82</v>
      </c>
      <c r="B99" s="328"/>
      <c r="C99" s="238" t="s">
        <v>120</v>
      </c>
      <c r="D99" s="242">
        <f>D98/$B$98</f>
        <v>0.24261408000000004</v>
      </c>
      <c r="E99" s="179"/>
      <c r="F99" s="182">
        <f>F98/$B$98</f>
        <v>0.21353903999999996</v>
      </c>
      <c r="G99" s="243"/>
      <c r="H99" s="171"/>
    </row>
    <row r="100" spans="1:10" ht="19.5" customHeight="1" x14ac:dyDescent="0.35">
      <c r="A100" s="316"/>
      <c r="B100" s="329"/>
      <c r="C100" s="238" t="s">
        <v>84</v>
      </c>
      <c r="D100" s="244">
        <f>$B$56/$B$116</f>
        <v>0.27777777777777779</v>
      </c>
      <c r="F100" s="187"/>
      <c r="G100" s="245"/>
      <c r="H100" s="171"/>
    </row>
    <row r="101" spans="1:10" ht="18" x14ac:dyDescent="0.35">
      <c r="C101" s="238" t="s">
        <v>85</v>
      </c>
      <c r="D101" s="239">
        <f>D100*$B$98</f>
        <v>27.777777777777779</v>
      </c>
      <c r="F101" s="187"/>
      <c r="G101" s="243"/>
      <c r="H101" s="171"/>
    </row>
    <row r="102" spans="1:10" ht="19.5" customHeight="1" x14ac:dyDescent="0.35">
      <c r="C102" s="246" t="s">
        <v>86</v>
      </c>
      <c r="D102" s="247">
        <f>D101/B34</f>
        <v>27.777777777777779</v>
      </c>
      <c r="F102" s="191"/>
      <c r="G102" s="243"/>
      <c r="H102" s="171"/>
      <c r="J102" s="248"/>
    </row>
    <row r="103" spans="1:10" ht="18" x14ac:dyDescent="0.35">
      <c r="C103" s="249" t="s">
        <v>121</v>
      </c>
      <c r="D103" s="250">
        <f>AVERAGE(E91:E94,G91:G94)</f>
        <v>0.8263264308565943</v>
      </c>
      <c r="F103" s="191"/>
      <c r="G103" s="251"/>
      <c r="H103" s="171"/>
      <c r="J103" s="252"/>
    </row>
    <row r="104" spans="1:10" ht="18" x14ac:dyDescent="0.35">
      <c r="C104" s="221" t="s">
        <v>88</v>
      </c>
      <c r="D104" s="253">
        <f>STDEV(E91:E94,G91:G94)/D103</f>
        <v>3.9077744438466228E-3</v>
      </c>
      <c r="F104" s="191"/>
      <c r="G104" s="243"/>
      <c r="H104" s="171"/>
      <c r="J104" s="252"/>
    </row>
    <row r="105" spans="1:10" ht="19.5" customHeight="1" x14ac:dyDescent="0.35">
      <c r="C105" s="223" t="s">
        <v>20</v>
      </c>
      <c r="D105" s="254">
        <f>COUNT(E91:E94,G91:G94)</f>
        <v>6</v>
      </c>
      <c r="F105" s="191"/>
      <c r="G105" s="243"/>
      <c r="H105" s="171"/>
      <c r="J105" s="252"/>
    </row>
    <row r="106" spans="1:10" ht="19.5" customHeight="1" x14ac:dyDescent="0.35">
      <c r="A106" s="195"/>
      <c r="B106" s="195"/>
      <c r="C106" s="195"/>
      <c r="D106" s="195"/>
      <c r="E106" s="195"/>
    </row>
    <row r="107" spans="1:10" ht="26.25" customHeight="1" x14ac:dyDescent="0.45">
      <c r="A107" s="143" t="s">
        <v>122</v>
      </c>
      <c r="B107" s="144">
        <v>900</v>
      </c>
      <c r="C107" s="255" t="s">
        <v>41</v>
      </c>
      <c r="D107" s="256" t="s">
        <v>67</v>
      </c>
      <c r="E107" s="257" t="s">
        <v>123</v>
      </c>
      <c r="F107" s="258" t="s">
        <v>124</v>
      </c>
    </row>
    <row r="108" spans="1:10" ht="26.25" customHeight="1" x14ac:dyDescent="0.45">
      <c r="A108" s="145" t="s">
        <v>125</v>
      </c>
      <c r="B108" s="146">
        <v>1</v>
      </c>
      <c r="C108" s="259">
        <v>1</v>
      </c>
      <c r="D108" s="346">
        <v>0.74199999999999999</v>
      </c>
      <c r="E108" s="357">
        <f t="shared" ref="E108:E113" si="1">IF(ISBLANK(D108),"-",D108/$D$103*$D$100*$B$116)</f>
        <v>224.48755488518654</v>
      </c>
      <c r="F108" s="260">
        <f t="shared" ref="F108:F113" si="2">IF(ISBLANK(D108), "-", E108/$B$56)</f>
        <v>0.89795021954074616</v>
      </c>
    </row>
    <row r="109" spans="1:10" ht="26.25" customHeight="1" x14ac:dyDescent="0.45">
      <c r="A109" s="145" t="s">
        <v>99</v>
      </c>
      <c r="B109" s="146">
        <v>1</v>
      </c>
      <c r="C109" s="259">
        <v>2</v>
      </c>
      <c r="D109" s="346">
        <v>0.73599999999999999</v>
      </c>
      <c r="E109" s="358">
        <f t="shared" si="1"/>
        <v>222.6722916381365</v>
      </c>
      <c r="F109" s="261">
        <f t="shared" si="2"/>
        <v>0.89068916655254604</v>
      </c>
    </row>
    <row r="110" spans="1:10" ht="26.25" customHeight="1" x14ac:dyDescent="0.45">
      <c r="A110" s="145" t="s">
        <v>100</v>
      </c>
      <c r="B110" s="146">
        <v>1</v>
      </c>
      <c r="C110" s="259">
        <v>3</v>
      </c>
      <c r="D110" s="346">
        <v>0.72499999999999998</v>
      </c>
      <c r="E110" s="358">
        <f t="shared" si="1"/>
        <v>219.34430901854481</v>
      </c>
      <c r="F110" s="261">
        <f t="shared" si="2"/>
        <v>0.87737723607417917</v>
      </c>
    </row>
    <row r="111" spans="1:10" ht="26.25" customHeight="1" x14ac:dyDescent="0.45">
      <c r="A111" s="145" t="s">
        <v>101</v>
      </c>
      <c r="B111" s="146">
        <v>1</v>
      </c>
      <c r="C111" s="259">
        <v>4</v>
      </c>
      <c r="D111" s="346">
        <v>0.74399999999999999</v>
      </c>
      <c r="E111" s="358">
        <f t="shared" si="1"/>
        <v>225.0926426342032</v>
      </c>
      <c r="F111" s="261">
        <f t="shared" si="2"/>
        <v>0.9003705705368128</v>
      </c>
    </row>
    <row r="112" spans="1:10" ht="26.25" customHeight="1" x14ac:dyDescent="0.45">
      <c r="A112" s="145" t="s">
        <v>102</v>
      </c>
      <c r="B112" s="146">
        <v>1</v>
      </c>
      <c r="C112" s="259">
        <v>5</v>
      </c>
      <c r="D112" s="346">
        <v>0.74099999999999999</v>
      </c>
      <c r="E112" s="358">
        <f t="shared" si="1"/>
        <v>224.18501101067821</v>
      </c>
      <c r="F112" s="261">
        <f t="shared" si="2"/>
        <v>0.89674004404271279</v>
      </c>
    </row>
    <row r="113" spans="1:10" ht="26.25" customHeight="1" x14ac:dyDescent="0.45">
      <c r="A113" s="145" t="s">
        <v>104</v>
      </c>
      <c r="B113" s="146">
        <v>1</v>
      </c>
      <c r="C113" s="262">
        <v>6</v>
      </c>
      <c r="D113" s="347">
        <v>0.72199999999999998</v>
      </c>
      <c r="E113" s="359">
        <f t="shared" si="1"/>
        <v>218.43667739501976</v>
      </c>
      <c r="F113" s="263">
        <f t="shared" si="2"/>
        <v>0.87374670958007905</v>
      </c>
    </row>
    <row r="114" spans="1:10" ht="26.25" customHeight="1" x14ac:dyDescent="0.45">
      <c r="A114" s="145" t="s">
        <v>105</v>
      </c>
      <c r="B114" s="146">
        <v>1</v>
      </c>
      <c r="C114" s="259"/>
      <c r="D114" s="218"/>
      <c r="E114" s="119"/>
      <c r="F114" s="264"/>
    </row>
    <row r="115" spans="1:10" ht="26.25" customHeight="1" x14ac:dyDescent="0.45">
      <c r="A115" s="145" t="s">
        <v>106</v>
      </c>
      <c r="B115" s="146">
        <v>1</v>
      </c>
      <c r="C115" s="259"/>
      <c r="D115" s="265" t="s">
        <v>75</v>
      </c>
      <c r="E115" s="285">
        <f>AVERAGE(E108:E113)</f>
        <v>222.3697477636282</v>
      </c>
      <c r="F115" s="266">
        <f>AVERAGE(F108:F113)</f>
        <v>0.88947899105451267</v>
      </c>
    </row>
    <row r="116" spans="1:10" ht="27" customHeight="1" x14ac:dyDescent="0.45">
      <c r="A116" s="145" t="s">
        <v>107</v>
      </c>
      <c r="B116" s="177">
        <f>(B115/B114)*(B113/B112)*(B111/B110)*(B109/B108)*B107</f>
        <v>900</v>
      </c>
      <c r="C116" s="267"/>
      <c r="D116" s="235" t="s">
        <v>88</v>
      </c>
      <c r="E116" s="268">
        <f>STDEV(E108:E113)/E115</f>
        <v>1.2704889828493901E-2</v>
      </c>
      <c r="F116" s="268">
        <f>STDEV(F108:F113)/F115</f>
        <v>1.2704889828493902E-2</v>
      </c>
      <c r="I116" s="119"/>
    </row>
    <row r="117" spans="1:10" ht="27" customHeight="1" x14ac:dyDescent="0.45">
      <c r="A117" s="314" t="s">
        <v>82</v>
      </c>
      <c r="B117" s="315"/>
      <c r="C117" s="269"/>
      <c r="D117" s="270" t="s">
        <v>20</v>
      </c>
      <c r="E117" s="271">
        <f>COUNT(E108:E113)</f>
        <v>6</v>
      </c>
      <c r="F117" s="271">
        <f>COUNT(F108:F113)</f>
        <v>6</v>
      </c>
      <c r="I117" s="119"/>
      <c r="J117" s="252"/>
    </row>
    <row r="118" spans="1:10" ht="19.5" customHeight="1" x14ac:dyDescent="0.35">
      <c r="A118" s="316"/>
      <c r="B118" s="317"/>
      <c r="C118" s="119"/>
      <c r="D118" s="119"/>
      <c r="E118" s="119"/>
      <c r="F118" s="218"/>
      <c r="G118" s="119"/>
      <c r="H118" s="119"/>
      <c r="I118" s="119"/>
    </row>
    <row r="119" spans="1:10" ht="18" x14ac:dyDescent="0.35">
      <c r="A119" s="280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5">
      <c r="A120" s="129" t="s">
        <v>110</v>
      </c>
      <c r="B120" s="225" t="s">
        <v>126</v>
      </c>
      <c r="C120" s="326" t="str">
        <f>B20</f>
        <v>Amoxicillin Trihydrate BP</v>
      </c>
      <c r="D120" s="326"/>
      <c r="E120" s="226" t="s">
        <v>127</v>
      </c>
      <c r="F120" s="226"/>
      <c r="G120" s="227">
        <f>F115</f>
        <v>0.88947899105451267</v>
      </c>
      <c r="H120" s="119"/>
      <c r="I120" s="119"/>
    </row>
    <row r="121" spans="1:10" ht="19.5" customHeight="1" x14ac:dyDescent="0.35">
      <c r="A121" s="272"/>
      <c r="B121" s="272"/>
      <c r="C121" s="273"/>
      <c r="D121" s="273"/>
      <c r="E121" s="273"/>
      <c r="F121" s="273"/>
      <c r="G121" s="273"/>
      <c r="H121" s="273"/>
    </row>
    <row r="122" spans="1:10" ht="18" x14ac:dyDescent="0.35">
      <c r="B122" s="327" t="s">
        <v>26</v>
      </c>
      <c r="C122" s="327"/>
      <c r="E122" s="230" t="s">
        <v>27</v>
      </c>
      <c r="F122" s="274"/>
      <c r="G122" s="327" t="s">
        <v>28</v>
      </c>
      <c r="H122" s="327"/>
    </row>
    <row r="123" spans="1:10" ht="69.900000000000006" customHeight="1" x14ac:dyDescent="0.35">
      <c r="A123" s="275" t="s">
        <v>29</v>
      </c>
      <c r="B123" s="276"/>
      <c r="C123" s="276"/>
      <c r="E123" s="276"/>
      <c r="F123" s="119"/>
      <c r="G123" s="277"/>
      <c r="H123" s="277"/>
    </row>
    <row r="124" spans="1:10" ht="69.900000000000006" customHeight="1" x14ac:dyDescent="0.35">
      <c r="A124" s="275" t="s">
        <v>30</v>
      </c>
      <c r="B124" s="278"/>
      <c r="C124" s="278"/>
      <c r="E124" s="278"/>
      <c r="F124" s="119"/>
      <c r="G124" s="279"/>
      <c r="H124" s="279"/>
    </row>
    <row r="125" spans="1:10" ht="18" x14ac:dyDescent="0.35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" x14ac:dyDescent="0.35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" x14ac:dyDescent="0.35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" x14ac:dyDescent="0.35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" x14ac:dyDescent="0.35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" x14ac:dyDescent="0.35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" x14ac:dyDescent="0.35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" x14ac:dyDescent="0.35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" x14ac:dyDescent="0.35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D89:E89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2016-06-27T04:17:00Z</cp:lastPrinted>
  <dcterms:created xsi:type="dcterms:W3CDTF">2005-07-05T10:19:27Z</dcterms:created>
  <dcterms:modified xsi:type="dcterms:W3CDTF">2016-08-09T10:52:22Z</dcterms:modified>
</cp:coreProperties>
</file>