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6" yWindow="552" windowWidth="15012" windowHeight="7620" activeTab="2"/>
  </bookViews>
  <sheets>
    <sheet name="SST" sheetId="1" r:id="rId1"/>
    <sheet name="Uniformity" sheetId="4" r:id="rId2"/>
    <sheet name="AMOXICILLIN" sheetId="3" r:id="rId3"/>
  </sheets>
  <definedNames>
    <definedName name="_xlnm.Print_Area" localSheetId="2">AMOXICILLIN!$A$1:$H$125</definedName>
  </definedNames>
  <calcPr calcId="145621"/>
</workbook>
</file>

<file path=xl/calcChain.xml><?xml version="1.0" encoding="utf-8"?>
<calcChain xmlns="http://schemas.openxmlformats.org/spreadsheetml/2006/main">
  <c r="C76" i="3" l="1"/>
  <c r="C120" i="3"/>
  <c r="B57" i="3" l="1"/>
  <c r="C43" i="4"/>
  <c r="B43" i="4"/>
  <c r="C42" i="4"/>
  <c r="B42" i="4"/>
  <c r="D40" i="4"/>
  <c r="D39" i="4"/>
  <c r="D38" i="4"/>
  <c r="D37" i="4"/>
  <c r="D36" i="4"/>
  <c r="D35" i="4"/>
  <c r="E35" i="4" s="1"/>
  <c r="D34" i="4"/>
  <c r="D33" i="4"/>
  <c r="D32" i="4"/>
  <c r="D31" i="4"/>
  <c r="D30" i="4"/>
  <c r="D29" i="4"/>
  <c r="D28" i="4"/>
  <c r="D27" i="4"/>
  <c r="E27" i="4" s="1"/>
  <c r="D26" i="4"/>
  <c r="D25" i="4"/>
  <c r="D24" i="4"/>
  <c r="D23" i="4"/>
  <c r="D22" i="4"/>
  <c r="D21" i="4"/>
  <c r="D43" i="4" s="1"/>
  <c r="D47" i="4" l="1"/>
  <c r="C47" i="4"/>
  <c r="E40" i="4"/>
  <c r="E36" i="4"/>
  <c r="E32" i="4"/>
  <c r="E28" i="4"/>
  <c r="E24" i="4"/>
  <c r="C48" i="4"/>
  <c r="E37" i="4"/>
  <c r="E33" i="4"/>
  <c r="E29" i="4"/>
  <c r="E21" i="4"/>
  <c r="B47" i="4"/>
  <c r="D48" i="4"/>
  <c r="E25" i="4"/>
  <c r="E22" i="4"/>
  <c r="E30" i="4"/>
  <c r="E38" i="4"/>
  <c r="E23" i="4"/>
  <c r="E31" i="4"/>
  <c r="E39" i="4"/>
  <c r="E26" i="4"/>
  <c r="E34" i="4"/>
  <c r="D42" i="4"/>
  <c r="C56" i="3"/>
  <c r="B31" i="1"/>
  <c r="B30" i="1"/>
  <c r="B21" i="1"/>
  <c r="B116" i="3" l="1"/>
  <c r="D100" i="3" s="1"/>
  <c r="B98" i="3"/>
  <c r="F95" i="3"/>
  <c r="D95" i="3"/>
  <c r="B87" i="3"/>
  <c r="F97" i="3" s="1"/>
  <c r="B81" i="3"/>
  <c r="B83" i="3" s="1"/>
  <c r="B80" i="3"/>
  <c r="B79" i="3"/>
  <c r="B68" i="3"/>
  <c r="B55" i="3"/>
  <c r="B45" i="3"/>
  <c r="D48" i="3" s="1"/>
  <c r="F42" i="3"/>
  <c r="D42" i="3"/>
  <c r="B34" i="3"/>
  <c r="D44" i="3" s="1"/>
  <c r="B30" i="3"/>
  <c r="B53" i="1"/>
  <c r="E51" i="1"/>
  <c r="D51" i="1"/>
  <c r="C51" i="1"/>
  <c r="B51" i="1"/>
  <c r="B52" i="1" s="1"/>
  <c r="B32" i="1"/>
  <c r="E30" i="1"/>
  <c r="D30" i="1"/>
  <c r="C30" i="1"/>
  <c r="I39" i="3" l="1"/>
  <c r="I92" i="3"/>
  <c r="D101" i="3"/>
  <c r="D102" i="3" s="1"/>
  <c r="D45" i="3"/>
  <c r="D46" i="3" s="1"/>
  <c r="F98" i="3"/>
  <c r="F99" i="3" s="1"/>
  <c r="D49" i="3"/>
  <c r="E40" i="3"/>
  <c r="F44" i="3"/>
  <c r="F45" i="3" s="1"/>
  <c r="F46" i="3" s="1"/>
  <c r="D97" i="3"/>
  <c r="D98" i="3" s="1"/>
  <c r="D99" i="3" s="1"/>
  <c r="B69" i="3" l="1"/>
  <c r="E41" i="3"/>
  <c r="G94" i="3"/>
  <c r="G91" i="3"/>
  <c r="G39" i="3"/>
  <c r="E39" i="3"/>
  <c r="E38" i="3"/>
  <c r="G92" i="3"/>
  <c r="G41" i="3"/>
  <c r="G93" i="3"/>
  <c r="E93" i="3"/>
  <c r="E91" i="3"/>
  <c r="E92" i="3"/>
  <c r="E94" i="3"/>
  <c r="G40" i="3"/>
  <c r="G38" i="3"/>
  <c r="G95" i="3" l="1"/>
  <c r="E42" i="3"/>
  <c r="D50" i="3"/>
  <c r="D51" i="3" s="1"/>
  <c r="G42" i="3"/>
  <c r="E95" i="3"/>
  <c r="D105" i="3"/>
  <c r="D103" i="3"/>
  <c r="D52" i="3"/>
  <c r="G62" i="3" l="1"/>
  <c r="H62" i="3" s="1"/>
  <c r="G69" i="3"/>
  <c r="H69" i="3" s="1"/>
  <c r="G63" i="3"/>
  <c r="H63" i="3" s="1"/>
  <c r="G66" i="3"/>
  <c r="H66" i="3" s="1"/>
  <c r="G65" i="3"/>
  <c r="H65" i="3" s="1"/>
  <c r="G70" i="3"/>
  <c r="H70" i="3" s="1"/>
  <c r="G68" i="3"/>
  <c r="H68" i="3" s="1"/>
  <c r="G61" i="3"/>
  <c r="H61" i="3" s="1"/>
  <c r="G60" i="3"/>
  <c r="H60" i="3" s="1"/>
  <c r="G71" i="3"/>
  <c r="H71" i="3" s="1"/>
  <c r="G67" i="3"/>
  <c r="H67" i="3" s="1"/>
  <c r="G64" i="3"/>
  <c r="H64" i="3" s="1"/>
  <c r="E112" i="3"/>
  <c r="F112" i="3" s="1"/>
  <c r="E110" i="3"/>
  <c r="F110" i="3" s="1"/>
  <c r="E108" i="3"/>
  <c r="E111" i="3"/>
  <c r="F111" i="3" s="1"/>
  <c r="D104" i="3"/>
  <c r="E113" i="3"/>
  <c r="F113" i="3" s="1"/>
  <c r="E109" i="3"/>
  <c r="F109" i="3" s="1"/>
  <c r="G72" i="3" l="1"/>
  <c r="G73" i="3" s="1"/>
  <c r="G74" i="3"/>
  <c r="H72" i="3"/>
  <c r="H74" i="3"/>
  <c r="E115" i="3"/>
  <c r="E116" i="3" s="1"/>
  <c r="E117" i="3"/>
  <c r="F108" i="3"/>
  <c r="F117" i="3" l="1"/>
  <c r="F115" i="3"/>
  <c r="G76" i="3"/>
  <c r="H73" i="3"/>
  <c r="G120" i="3" l="1"/>
  <c r="F116" i="3"/>
</calcChain>
</file>

<file path=xl/sharedStrings.xml><?xml version="1.0" encoding="utf-8"?>
<sst xmlns="http://schemas.openxmlformats.org/spreadsheetml/2006/main" count="237" uniqueCount="138">
  <si>
    <t>HPLC System Suitability Report</t>
  </si>
  <si>
    <t>Analysis Data</t>
  </si>
  <si>
    <t>Assay</t>
  </si>
  <si>
    <t>Sample(s)</t>
  </si>
  <si>
    <t>Reference Substance:</t>
  </si>
  <si>
    <t>% age Purity:</t>
  </si>
  <si>
    <t>NDQD2016061217</t>
  </si>
  <si>
    <t>Weight (mg):</t>
  </si>
  <si>
    <t>Amoxicillin Trihydrate BP</t>
  </si>
  <si>
    <t>Standard Conc (mg/mL):</t>
  </si>
  <si>
    <t>2016-06-23 15:17:36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</si>
  <si>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</si>
  <si>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</si>
  <si>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</si>
  <si>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</si>
  <si>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</si>
  <si>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</si>
  <si>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</si>
  <si>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</si>
  <si>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</si>
  <si>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</si>
  <si>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</si>
  <si>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</si>
  <si>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</si>
  <si>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</si>
  <si>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</si>
  <si>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</si>
  <si>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</si>
  <si>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</si>
  <si>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</si>
  <si>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</si>
  <si>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</si>
  <si>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</si>
  <si>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</si>
  <si>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</si>
  <si>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</si>
  <si>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</si>
  <si>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</si>
  <si>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</si>
  <si>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</si>
  <si>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</si>
  <si>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</si>
  <si>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</si>
  <si>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</si>
  <si>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</si>
  <si>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</si>
  <si>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</si>
  <si>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</si>
  <si>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</si>
  <si>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</si>
  <si>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</si>
  <si>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</si>
  <si>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</si>
  <si>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</si>
  <si>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</si>
  <si>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</si>
  <si>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</si>
  <si>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</si>
  <si>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</si>
  <si>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</si>
  <si>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</si>
  <si>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</si>
  <si>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</si>
  <si>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</si>
  <si>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</si>
  <si>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</si>
  <si>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</si>
  <si>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</si>
  <si>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</si>
  <si>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</si>
  <si>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</si>
  <si>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</si>
  <si>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</si>
  <si>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</si>
  <si>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</si>
  <si>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</si>
  <si>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</si>
  <si>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</si>
  <si>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</si>
  <si>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</si>
  <si>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</si>
  <si>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</si>
  <si>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</si>
  <si>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</si>
  <si>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</si>
  <si>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</si>
  <si>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</si>
  <si>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</si>
  <si>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Tablet/Capsule contains</t>
  </si>
  <si>
    <t>Average Tablet/Capsule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</si>
  <si>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</si>
  <si>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</si>
  <si>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</si>
  <si>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</si>
  <si>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</si>
  <si>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</si>
  <si>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</si>
  <si>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</si>
  <si>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</si>
  <si>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</si>
  <si>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</si>
  <si>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</si>
  <si>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</si>
  <si>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</si>
  <si>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</si>
  <si>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</si>
  <si>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</si>
  <si>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</si>
  <si>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</si>
  <si>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</si>
  <si>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</si>
  <si>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</si>
  <si>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</si>
  <si>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</si>
  <si>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</si>
  <si>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</si>
  <si>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</si>
  <si>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</si>
  <si>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</si>
  <si>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</si>
  <si>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</si>
  <si>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</si>
  <si>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</si>
  <si>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</si>
  <si>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</si>
  <si>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AMOXICILLIN</t>
  </si>
  <si>
    <t>A1-2</t>
  </si>
  <si>
    <t>MYDAWA AMOXICILLIN 250 mg CAPSULES</t>
  </si>
  <si>
    <t>NOT APPLICABLE</t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</si>
  <si>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2.5</t>
    </r>
  </si>
  <si>
    <r>
      <t xml:space="preserve">The RSD of the peak areas for </t>
    </r>
    <r>
      <rPr>
        <b/>
        <sz val="12"/>
        <color rgb="FF000000"/>
        <rFont val="Book Antiqua"/>
        <family val="1"/>
      </rPr>
      <t>five</t>
    </r>
    <r>
      <rPr>
        <sz val="12"/>
        <color rgb="FF000000"/>
        <rFont val="Book Antiqua"/>
        <family val="1"/>
      </rPr>
      <t xml:space="preserve"> replicate injections of  SST Std is </t>
    </r>
    <r>
      <rPr>
        <b/>
        <sz val="12"/>
        <color rgb="FF000000"/>
        <rFont val="Book Antiqua"/>
        <family val="1"/>
      </rPr>
      <t>less than 2.0%.</t>
    </r>
  </si>
  <si>
    <t>Determination</t>
  </si>
  <si>
    <t>MYDAWA AMOXICILLIN 500 mg CAPSULES</t>
  </si>
  <si>
    <t>NDQD2016061219</t>
  </si>
  <si>
    <t>Each capsule contains Amoxicillin (as Trihydrate) 500 mg.</t>
  </si>
  <si>
    <t>MYDAWA AMOXICILLIN 500 MG CAPSULES</t>
  </si>
  <si>
    <t>2016-06-23 15:21:18</t>
  </si>
  <si>
    <t>2016-06-24 22:27:43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</si>
</sst>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  <numFmt numFmtId="172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b/>
      <i/>
      <sz val="10"/>
      <color rgb="FF000000"/>
      <name val="Book Antiqua"/>
      <family val="1"/>
    </font>
    <font>
      <b/>
      <u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sz val="11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5" fillId="2" borderId="0"/>
    <xf numFmtId="0" fontId="25" fillId="2" borderId="0"/>
  </cellStyleXfs>
  <cellXfs count="35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7" fontId="14" fillId="3" borderId="0" xfId="0" applyNumberFormat="1" applyFont="1" applyFill="1" applyAlignment="1" applyProtection="1">
      <alignment horizontal="center"/>
      <protection locked="0"/>
    </xf>
    <xf numFmtId="170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33" xfId="0" applyFont="1" applyFill="1" applyBorder="1" applyAlignment="1">
      <alignment horizontal="right"/>
    </xf>
    <xf numFmtId="0" fontId="13" fillId="3" borderId="34" xfId="0" applyFont="1" applyFill="1" applyBorder="1" applyAlignment="1" applyProtection="1">
      <alignment horizontal="center"/>
      <protection locked="0"/>
    </xf>
    <xf numFmtId="0" fontId="11" fillId="2" borderId="35" xfId="0" applyFont="1" applyFill="1" applyBorder="1" applyAlignment="1">
      <alignment horizontal="right"/>
    </xf>
    <xf numFmtId="0" fontId="13" fillId="3" borderId="36" xfId="0" applyFont="1" applyFill="1" applyBorder="1" applyAlignment="1" applyProtection="1">
      <alignment horizontal="center"/>
      <protection locked="0"/>
    </xf>
    <xf numFmtId="0" fontId="12" fillId="2" borderId="34" xfId="0" applyFont="1" applyFill="1" applyBorder="1" applyAlignment="1">
      <alignment horizontal="center"/>
    </xf>
    <xf numFmtId="0" fontId="12" fillId="2" borderId="37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3" fillId="3" borderId="41" xfId="0" applyFont="1" applyFill="1" applyBorder="1" applyAlignment="1" applyProtection="1">
      <alignment horizontal="center"/>
      <protection locked="0"/>
    </xf>
    <xf numFmtId="171" fontId="11" fillId="2" borderId="38" xfId="0" applyNumberFormat="1" applyFont="1" applyFill="1" applyBorder="1" applyAlignment="1">
      <alignment horizontal="center"/>
    </xf>
    <xf numFmtId="171" fontId="11" fillId="2" borderId="42" xfId="0" applyNumberFormat="1" applyFont="1" applyFill="1" applyBorder="1" applyAlignment="1">
      <alignment horizontal="center"/>
    </xf>
    <xf numFmtId="0" fontId="18" fillId="2" borderId="31" xfId="0" applyFont="1" applyFill="1" applyBorder="1"/>
    <xf numFmtId="0" fontId="11" fillId="2" borderId="36" xfId="0" applyFont="1" applyFill="1" applyBorder="1" applyAlignment="1">
      <alignment horizontal="center"/>
    </xf>
    <xf numFmtId="0" fontId="13" fillId="3" borderId="35" xfId="0" applyFont="1" applyFill="1" applyBorder="1" applyAlignment="1" applyProtection="1">
      <alignment horizontal="center"/>
      <protection locked="0"/>
    </xf>
    <xf numFmtId="171" fontId="11" fillId="2" borderId="43" xfId="0" applyNumberFormat="1" applyFont="1" applyFill="1" applyBorder="1" applyAlignment="1">
      <alignment horizontal="center"/>
    </xf>
    <xf numFmtId="171" fontId="11" fillId="2" borderId="44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15" xfId="0" applyFont="1" applyFill="1" applyBorder="1" applyAlignment="1">
      <alignment horizontal="center"/>
    </xf>
    <xf numFmtId="0" fontId="13" fillId="3" borderId="45" xfId="0" applyFont="1" applyFill="1" applyBorder="1" applyAlignment="1" applyProtection="1">
      <alignment horizontal="center"/>
      <protection locked="0"/>
    </xf>
    <xf numFmtId="171" fontId="11" fillId="2" borderId="46" xfId="0" applyNumberFormat="1" applyFont="1" applyFill="1" applyBorder="1" applyAlignment="1">
      <alignment horizontal="center"/>
    </xf>
    <xf numFmtId="171" fontId="11" fillId="2" borderId="47" xfId="0" applyNumberFormat="1" applyFont="1" applyFill="1" applyBorder="1" applyAlignment="1">
      <alignment horizontal="center"/>
    </xf>
    <xf numFmtId="0" fontId="11" fillId="2" borderId="32" xfId="0" applyFont="1" applyFill="1" applyBorder="1"/>
    <xf numFmtId="0" fontId="11" fillId="2" borderId="36" xfId="0" applyFont="1" applyFill="1" applyBorder="1" applyAlignment="1">
      <alignment horizontal="right"/>
    </xf>
    <xf numFmtId="1" fontId="12" fillId="6" borderId="25" xfId="0" applyNumberFormat="1" applyFont="1" applyFill="1" applyBorder="1" applyAlignment="1">
      <alignment horizontal="center"/>
    </xf>
    <xf numFmtId="171" fontId="12" fillId="6" borderId="48" xfId="0" applyNumberFormat="1" applyFont="1" applyFill="1" applyBorder="1" applyAlignment="1">
      <alignment horizontal="center"/>
    </xf>
    <xf numFmtId="171" fontId="12" fillId="6" borderId="4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50" xfId="0" applyFont="1" applyFill="1" applyBorder="1" applyAlignment="1">
      <alignment horizontal="right"/>
    </xf>
    <xf numFmtId="0" fontId="13" fillId="3" borderId="28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1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center"/>
    </xf>
    <xf numFmtId="2" fontId="11" fillId="7" borderId="17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8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166" fontId="13" fillId="3" borderId="17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41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32" xfId="0" applyFont="1" applyFill="1" applyBorder="1" applyAlignment="1">
      <alignment horizontal="right"/>
    </xf>
    <xf numFmtId="2" fontId="11" fillId="6" borderId="32" xfId="0" applyNumberFormat="1" applyFont="1" applyFill="1" applyBorder="1" applyAlignment="1">
      <alignment horizontal="center"/>
    </xf>
    <xf numFmtId="171" fontId="12" fillId="7" borderId="31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17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1" fillId="7" borderId="32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31" xfId="0" applyNumberFormat="1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11" fillId="2" borderId="31" xfId="0" applyFont="1" applyFill="1" applyBorder="1" applyAlignment="1">
      <alignment horizontal="center"/>
    </xf>
    <xf numFmtId="0" fontId="13" fillId="3" borderId="33" xfId="0" applyFont="1" applyFill="1" applyBorder="1" applyAlignment="1" applyProtection="1">
      <alignment horizontal="center"/>
      <protection locked="0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3" xfId="0" applyFont="1" applyFill="1" applyBorder="1" applyAlignment="1">
      <alignment horizontal="center"/>
    </xf>
    <xf numFmtId="10" fontId="11" fillId="2" borderId="53" xfId="0" applyNumberFormat="1" applyFont="1" applyFill="1" applyBorder="1" applyAlignment="1">
      <alignment horizontal="center" vertic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0" fontId="11" fillId="2" borderId="32" xfId="0" applyFont="1" applyFill="1" applyBorder="1" applyAlignment="1">
      <alignment horizontal="center"/>
    </xf>
    <xf numFmtId="0" fontId="13" fillId="3" borderId="52" xfId="0" applyFont="1" applyFill="1" applyBorder="1" applyAlignment="1" applyProtection="1">
      <alignment horizontal="center"/>
      <protection locked="0"/>
    </xf>
    <xf numFmtId="10" fontId="11" fillId="2" borderId="34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10" fontId="11" fillId="2" borderId="54" xfId="0" applyNumberFormat="1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/>
    </xf>
    <xf numFmtId="2" fontId="14" fillId="2" borderId="54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14" xfId="0" applyFont="1" applyFill="1" applyBorder="1" applyAlignment="1">
      <alignment horizontal="right"/>
    </xf>
    <xf numFmtId="10" fontId="13" fillId="7" borderId="15" xfId="0" applyNumberFormat="1" applyFont="1" applyFill="1" applyBorder="1" applyAlignment="1">
      <alignment horizontal="center"/>
    </xf>
    <xf numFmtId="0" fontId="11" fillId="2" borderId="17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3" fillId="7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10" xfId="0" applyFont="1" applyFill="1" applyBorder="1" applyAlignment="1">
      <alignment horizontal="center"/>
    </xf>
    <xf numFmtId="0" fontId="12" fillId="2" borderId="42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45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0" fontId="11" fillId="2" borderId="21" xfId="0" applyFont="1" applyFill="1" applyBorder="1" applyAlignment="1">
      <alignment horizontal="right"/>
    </xf>
    <xf numFmtId="0" fontId="13" fillId="3" borderId="23" xfId="0" applyFont="1" applyFill="1" applyBorder="1" applyAlignment="1" applyProtection="1">
      <alignment horizontal="center"/>
      <protection locked="0"/>
    </xf>
    <xf numFmtId="0" fontId="11" fillId="2" borderId="37" xfId="0" applyFont="1" applyFill="1" applyBorder="1" applyAlignment="1">
      <alignment horizontal="right"/>
    </xf>
    <xf numFmtId="2" fontId="11" fillId="6" borderId="39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39" xfId="0" applyNumberFormat="1" applyFont="1" applyFill="1" applyBorder="1" applyAlignment="1">
      <alignment horizontal="center"/>
    </xf>
    <xf numFmtId="166" fontId="11" fillId="6" borderId="39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39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8" xfId="0" applyFont="1" applyFill="1" applyBorder="1" applyAlignment="1">
      <alignment horizontal="right"/>
    </xf>
    <xf numFmtId="2" fontId="11" fillId="7" borderId="42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28" xfId="0" applyFont="1" applyFill="1" applyBorder="1" applyAlignment="1">
      <alignment horizontal="right"/>
    </xf>
    <xf numFmtId="171" fontId="12" fillId="7" borderId="28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17" xfId="0" applyNumberFormat="1" applyFont="1" applyFill="1" applyBorder="1" applyAlignment="1">
      <alignment horizontal="center"/>
    </xf>
    <xf numFmtId="0" fontId="12" fillId="7" borderId="18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2" fillId="2" borderId="34" xfId="0" applyFont="1" applyFill="1" applyBorder="1" applyAlignment="1">
      <alignment horizontal="center" wrapText="1"/>
    </xf>
    <xf numFmtId="0" fontId="11" fillId="2" borderId="35" xfId="0" applyFont="1" applyFill="1" applyBorder="1" applyAlignment="1">
      <alignment horizontal="center"/>
    </xf>
    <xf numFmtId="10" fontId="11" fillId="2" borderId="42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/>
    </xf>
    <xf numFmtId="0" fontId="11" fillId="2" borderId="45" xfId="0" applyFont="1" applyFill="1" applyBorder="1" applyAlignment="1">
      <alignment horizontal="center"/>
    </xf>
    <xf numFmtId="10" fontId="11" fillId="2" borderId="47" xfId="0" applyNumberFormat="1" applyFont="1" applyFill="1" applyBorder="1" applyAlignment="1">
      <alignment horizontal="center"/>
    </xf>
    <xf numFmtId="2" fontId="11" fillId="2" borderId="36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39" xfId="0" applyNumberFormat="1" applyFont="1" applyFill="1" applyBorder="1" applyAlignment="1">
      <alignment horizontal="center"/>
    </xf>
    <xf numFmtId="0" fontId="11" fillId="2" borderId="35" xfId="0" applyFont="1" applyFill="1" applyBorder="1"/>
    <xf numFmtId="10" fontId="13" fillId="6" borderId="39" xfId="0" applyNumberFormat="1" applyFont="1" applyFill="1" applyBorder="1" applyAlignment="1">
      <alignment horizontal="center"/>
    </xf>
    <xf numFmtId="0" fontId="11" fillId="2" borderId="52" xfId="0" applyFont="1" applyFill="1" applyBorder="1"/>
    <xf numFmtId="0" fontId="11" fillId="2" borderId="60" xfId="0" applyFont="1" applyFill="1" applyBorder="1" applyAlignment="1">
      <alignment horizontal="right"/>
    </xf>
    <xf numFmtId="0" fontId="13" fillId="7" borderId="18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0" fontId="13" fillId="6" borderId="16" xfId="0" applyNumberFormat="1" applyFont="1" applyFill="1" applyBorder="1" applyAlignment="1">
      <alignment horizontal="center"/>
    </xf>
    <xf numFmtId="2" fontId="13" fillId="7" borderId="15" xfId="0" applyNumberFormat="1" applyFont="1" applyFill="1" applyBorder="1" applyAlignment="1">
      <alignment horizontal="center"/>
    </xf>
    <xf numFmtId="2" fontId="13" fillId="7" borderId="39" xfId="0" applyNumberFormat="1" applyFont="1" applyFill="1" applyBorder="1" applyAlignment="1">
      <alignment horizontal="center"/>
    </xf>
    <xf numFmtId="0" fontId="14" fillId="2" borderId="0" xfId="0" applyFont="1" applyFill="1"/>
    <xf numFmtId="0" fontId="13" fillId="3" borderId="0" xfId="0" applyFont="1" applyFill="1" applyAlignment="1" applyProtection="1">
      <protection locked="0"/>
    </xf>
    <xf numFmtId="166" fontId="5" fillId="2" borderId="0" xfId="0" applyNumberFormat="1" applyFont="1" applyFill="1" applyAlignment="1">
      <alignment horizontal="center"/>
    </xf>
    <xf numFmtId="171" fontId="13" fillId="3" borderId="43" xfId="0" applyNumberFormat="1" applyFont="1" applyFill="1" applyBorder="1" applyAlignment="1" applyProtection="1">
      <alignment horizontal="center"/>
      <protection locked="0"/>
    </xf>
    <xf numFmtId="171" fontId="13" fillId="3" borderId="46" xfId="0" applyNumberFormat="1" applyFont="1" applyFill="1" applyBorder="1" applyAlignment="1" applyProtection="1">
      <alignment horizontal="center"/>
      <protection locked="0"/>
    </xf>
    <xf numFmtId="2" fontId="11" fillId="2" borderId="33" xfId="0" applyNumberFormat="1" applyFont="1" applyFill="1" applyBorder="1" applyAlignment="1">
      <alignment horizontal="center"/>
    </xf>
    <xf numFmtId="2" fontId="11" fillId="2" borderId="35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2" fontId="11" fillId="2" borderId="53" xfId="0" applyNumberFormat="1" applyFont="1" applyFill="1" applyBorder="1" applyAlignment="1">
      <alignment horizontal="center"/>
    </xf>
    <xf numFmtId="2" fontId="11" fillId="2" borderId="32" xfId="0" applyNumberFormat="1" applyFont="1" applyFill="1" applyBorder="1" applyAlignment="1">
      <alignment horizontal="center"/>
    </xf>
    <xf numFmtId="166" fontId="12" fillId="6" borderId="56" xfId="0" applyNumberFormat="1" applyFont="1" applyFill="1" applyBorder="1" applyAlignment="1">
      <alignment horizontal="center"/>
    </xf>
    <xf numFmtId="166" fontId="12" fillId="6" borderId="48" xfId="0" applyNumberFormat="1" applyFont="1" applyFill="1" applyBorder="1" applyAlignment="1">
      <alignment horizontal="center"/>
    </xf>
    <xf numFmtId="166" fontId="12" fillId="6" borderId="57" xfId="0" applyNumberFormat="1" applyFont="1" applyFill="1" applyBorder="1" applyAlignment="1">
      <alignment horizontal="center"/>
    </xf>
    <xf numFmtId="166" fontId="12" fillId="6" borderId="32" xfId="0" applyNumberFormat="1" applyFont="1" applyFill="1" applyBorder="1" applyAlignment="1">
      <alignment horizontal="center"/>
    </xf>
    <xf numFmtId="2" fontId="11" fillId="2" borderId="38" xfId="0" applyNumberFormat="1" applyFont="1" applyFill="1" applyBorder="1" applyAlignment="1">
      <alignment horizontal="center"/>
    </xf>
    <xf numFmtId="2" fontId="11" fillId="2" borderId="43" xfId="0" applyNumberFormat="1" applyFont="1" applyFill="1" applyBorder="1" applyAlignment="1">
      <alignment horizontal="center"/>
    </xf>
    <xf numFmtId="2" fontId="11" fillId="2" borderId="4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4" fillId="3" borderId="38" xfId="0" applyFont="1" applyFill="1" applyBorder="1" applyAlignment="1" applyProtection="1">
      <alignment horizontal="center" vertical="center"/>
      <protection locked="0"/>
    </xf>
    <xf numFmtId="0" fontId="7" fillId="3" borderId="55" xfId="0" applyFont="1" applyFill="1" applyBorder="1" applyAlignment="1" applyProtection="1">
      <alignment horizontal="center" vertical="center"/>
      <protection locked="0"/>
    </xf>
    <xf numFmtId="0" fontId="7" fillId="3" borderId="62" xfId="0" applyFont="1" applyFill="1" applyBorder="1" applyAlignment="1" applyProtection="1">
      <alignment horizontal="center" vertical="center"/>
      <protection locked="0"/>
    </xf>
    <xf numFmtId="0" fontId="7" fillId="3" borderId="43" xfId="0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Border="1" applyAlignment="1" applyProtection="1">
      <alignment horizontal="center" vertical="center"/>
      <protection locked="0"/>
    </xf>
    <xf numFmtId="0" fontId="7" fillId="3" borderId="6" xfId="0" applyFont="1" applyFill="1" applyBorder="1" applyAlignment="1" applyProtection="1">
      <alignment horizontal="center" vertical="center"/>
      <protection locked="0"/>
    </xf>
    <xf numFmtId="0" fontId="7" fillId="3" borderId="46" xfId="0" applyFont="1" applyFill="1" applyBorder="1" applyAlignment="1" applyProtection="1">
      <alignment horizontal="center" vertical="center"/>
      <protection locked="0"/>
    </xf>
    <xf numFmtId="0" fontId="7" fillId="3" borderId="7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12" fillId="2" borderId="20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33" xfId="0" applyFont="1" applyFill="1" applyBorder="1" applyAlignment="1">
      <alignment horizontal="left" vertical="center" wrapText="1"/>
    </xf>
    <xf numFmtId="0" fontId="19" fillId="2" borderId="34" xfId="0" applyFont="1" applyFill="1" applyBorder="1" applyAlignment="1">
      <alignment horizontal="left" vertical="center" wrapText="1"/>
    </xf>
    <xf numFmtId="0" fontId="19" fillId="2" borderId="52" xfId="0" applyFont="1" applyFill="1" applyBorder="1" applyAlignment="1">
      <alignment horizontal="left" vertical="center" wrapText="1"/>
    </xf>
    <xf numFmtId="0" fontId="19" fillId="2" borderId="5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61" xfId="0" applyFont="1" applyFill="1" applyBorder="1" applyAlignment="1">
      <alignment horizontal="justify" vertical="center" wrapText="1"/>
    </xf>
    <xf numFmtId="0" fontId="19" fillId="2" borderId="30" xfId="0" applyFont="1" applyFill="1" applyBorder="1" applyAlignment="1">
      <alignment horizontal="justify" vertical="center" wrapText="1"/>
    </xf>
    <xf numFmtId="0" fontId="19" fillId="2" borderId="13" xfId="0" applyFont="1" applyFill="1" applyBorder="1" applyAlignment="1">
      <alignment horizontal="justify" vertical="center" wrapText="1"/>
    </xf>
    <xf numFmtId="0" fontId="19" fillId="2" borderId="61" xfId="0" applyFont="1" applyFill="1" applyBorder="1" applyAlignment="1">
      <alignment horizontal="left" vertical="center" wrapText="1"/>
    </xf>
    <xf numFmtId="0" fontId="19" fillId="2" borderId="30" xfId="0" applyFont="1" applyFill="1" applyBorder="1" applyAlignment="1">
      <alignment horizontal="left" vertical="center" wrapText="1"/>
    </xf>
    <xf numFmtId="0" fontId="19" fillId="2" borderId="13" xfId="0" applyFont="1" applyFill="1" applyBorder="1" applyAlignment="1">
      <alignment horizontal="left" vertical="center" wrapText="1"/>
    </xf>
    <xf numFmtId="10" fontId="15" fillId="2" borderId="53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3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19" fillId="2" borderId="52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5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61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center"/>
    </xf>
    <xf numFmtId="0" fontId="19" fillId="2" borderId="13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10" fontId="2" fillId="2" borderId="0" xfId="1" applyNumberFormat="1" applyFont="1" applyFill="1"/>
    <xf numFmtId="164" fontId="2" fillId="2" borderId="0" xfId="1" applyNumberFormat="1" applyFont="1" applyFill="1" applyAlignment="1">
      <alignment horizontal="center"/>
    </xf>
    <xf numFmtId="10" fontId="2" fillId="2" borderId="0" xfId="1" applyNumberFormat="1" applyFont="1" applyFill="1" applyAlignment="1">
      <alignment horizontal="center"/>
    </xf>
    <xf numFmtId="0" fontId="1" fillId="2" borderId="0" xfId="1" applyFont="1" applyFill="1"/>
    <xf numFmtId="2" fontId="2" fillId="2" borderId="0" xfId="1" applyNumberFormat="1" applyFont="1" applyFill="1" applyAlignment="1">
      <alignment horizontal="center"/>
    </xf>
    <xf numFmtId="0" fontId="9" fillId="2" borderId="0" xfId="1" applyFont="1" applyFill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4" fillId="2" borderId="0" xfId="1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6" fillId="2" borderId="4" xfId="1" applyFont="1" applyFill="1" applyBorder="1"/>
    <xf numFmtId="0" fontId="2" fillId="2" borderId="0" xfId="1" applyFont="1" applyFill="1" applyAlignment="1">
      <alignment horizontal="left" wrapText="1"/>
    </xf>
    <xf numFmtId="167" fontId="2" fillId="2" borderId="0" xfId="1" applyNumberFormat="1" applyFont="1" applyFill="1" applyAlignment="1">
      <alignment horizontal="center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10" fillId="2" borderId="0" xfId="1" applyFont="1" applyFill="1" applyAlignment="1">
      <alignment horizontal="center"/>
    </xf>
    <xf numFmtId="0" fontId="10" fillId="2" borderId="0" xfId="1" applyFont="1" applyFill="1" applyAlignment="1">
      <alignment horizontal="left"/>
    </xf>
    <xf numFmtId="164" fontId="1" fillId="2" borderId="12" xfId="1" applyNumberFormat="1" applyFont="1" applyFill="1" applyBorder="1" applyAlignment="1">
      <alignment horizontal="center"/>
    </xf>
    <xf numFmtId="164" fontId="1" fillId="2" borderId="13" xfId="1" applyNumberFormat="1" applyFont="1" applyFill="1" applyBorder="1" applyAlignment="1">
      <alignment horizontal="center"/>
    </xf>
    <xf numFmtId="0" fontId="1" fillId="2" borderId="12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2" fontId="2" fillId="2" borderId="0" xfId="1" applyNumberFormat="1" applyFont="1" applyFill="1" applyAlignment="1">
      <alignment horizontal="center" wrapText="1"/>
    </xf>
    <xf numFmtId="0" fontId="2" fillId="2" borderId="14" xfId="1" applyFont="1" applyFill="1" applyBorder="1" applyAlignment="1">
      <alignment horizontal="center"/>
    </xf>
    <xf numFmtId="2" fontId="2" fillId="3" borderId="15" xfId="1" applyNumberFormat="1" applyFont="1" applyFill="1" applyBorder="1" applyAlignment="1" applyProtection="1">
      <alignment horizontal="center"/>
      <protection locked="0"/>
    </xf>
    <xf numFmtId="2" fontId="2" fillId="3" borderId="14" xfId="1" applyNumberFormat="1" applyFont="1" applyFill="1" applyBorder="1" applyAlignment="1" applyProtection="1">
      <alignment horizontal="center"/>
      <protection locked="0"/>
    </xf>
    <xf numFmtId="2" fontId="2" fillId="2" borderId="14" xfId="1" applyNumberFormat="1" applyFont="1" applyFill="1" applyBorder="1" applyAlignment="1">
      <alignment horizontal="center"/>
    </xf>
    <xf numFmtId="10" fontId="2" fillId="2" borderId="16" xfId="1" applyNumberFormat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2" fontId="2" fillId="3" borderId="16" xfId="1" applyNumberFormat="1" applyFont="1" applyFill="1" applyBorder="1" applyAlignment="1" applyProtection="1">
      <alignment horizontal="center"/>
      <protection locked="0"/>
    </xf>
    <xf numFmtId="2" fontId="2" fillId="3" borderId="17" xfId="1" applyNumberFormat="1" applyFont="1" applyFill="1" applyBorder="1" applyAlignment="1" applyProtection="1">
      <alignment horizontal="center"/>
      <protection locked="0"/>
    </xf>
    <xf numFmtId="2" fontId="2" fillId="2" borderId="17" xfId="1" applyNumberFormat="1" applyFont="1" applyFill="1" applyBorder="1" applyAlignment="1">
      <alignment horizontal="center"/>
    </xf>
    <xf numFmtId="2" fontId="2" fillId="3" borderId="16" xfId="1" applyNumberFormat="1" applyFont="1" applyFill="1" applyBorder="1" applyAlignment="1" applyProtection="1">
      <alignment horizontal="center" wrapText="1"/>
      <protection locked="0"/>
    </xf>
    <xf numFmtId="166" fontId="2" fillId="2" borderId="0" xfId="1" applyNumberFormat="1" applyFont="1" applyFill="1" applyAlignment="1">
      <alignment horizontal="center"/>
    </xf>
    <xf numFmtId="166" fontId="8" fillId="2" borderId="0" xfId="1" applyNumberFormat="1" applyFont="1" applyFill="1" applyAlignment="1">
      <alignment horizontal="center"/>
    </xf>
    <xf numFmtId="10" fontId="8" fillId="2" borderId="0" xfId="1" applyNumberFormat="1" applyFont="1" applyFill="1" applyAlignment="1">
      <alignment horizontal="center"/>
    </xf>
    <xf numFmtId="164" fontId="8" fillId="2" borderId="0" xfId="1" applyNumberFormat="1" applyFont="1" applyFill="1" applyAlignment="1">
      <alignment horizontal="center"/>
    </xf>
    <xf numFmtId="2" fontId="25" fillId="2" borderId="0" xfId="1" applyNumberFormat="1" applyFill="1" applyAlignment="1">
      <alignment horizontal="center"/>
    </xf>
    <xf numFmtId="164" fontId="25" fillId="2" borderId="0" xfId="1" applyNumberFormat="1" applyFill="1"/>
    <xf numFmtId="10" fontId="25" fillId="2" borderId="0" xfId="1" applyNumberFormat="1" applyFill="1"/>
    <xf numFmtId="2" fontId="25" fillId="2" borderId="0" xfId="1" applyNumberFormat="1" applyFill="1"/>
    <xf numFmtId="0" fontId="25" fillId="2" borderId="0" xfId="1" applyFill="1" applyAlignment="1">
      <alignment horizontal="right"/>
    </xf>
    <xf numFmtId="1" fontId="2" fillId="2" borderId="18" xfId="1" applyNumberFormat="1" applyFont="1" applyFill="1" applyBorder="1" applyAlignment="1">
      <alignment horizontal="center"/>
    </xf>
    <xf numFmtId="2" fontId="2" fillId="3" borderId="19" xfId="1" applyNumberFormat="1" applyFont="1" applyFill="1" applyBorder="1" applyAlignment="1" applyProtection="1">
      <alignment horizontal="center" wrapText="1"/>
      <protection locked="0"/>
    </xf>
    <xf numFmtId="2" fontId="2" fillId="3" borderId="18" xfId="1" applyNumberFormat="1" applyFont="1" applyFill="1" applyBorder="1" applyAlignment="1" applyProtection="1">
      <alignment horizontal="center"/>
      <protection locked="0"/>
    </xf>
    <xf numFmtId="2" fontId="2" fillId="2" borderId="18" xfId="1" applyNumberFormat="1" applyFont="1" applyFill="1" applyBorder="1" applyAlignment="1">
      <alignment horizontal="center"/>
    </xf>
    <xf numFmtId="10" fontId="2" fillId="2" borderId="19" xfId="1" applyNumberFormat="1" applyFont="1" applyFill="1" applyBorder="1" applyAlignment="1">
      <alignment horizontal="center"/>
    </xf>
    <xf numFmtId="0" fontId="2" fillId="2" borderId="20" xfId="1" applyFont="1" applyFill="1" applyBorder="1" applyAlignment="1">
      <alignment horizontal="right"/>
    </xf>
    <xf numFmtId="166" fontId="2" fillId="2" borderId="21" xfId="1" applyNumberFormat="1" applyFont="1" applyFill="1" applyBorder="1" applyAlignment="1">
      <alignment horizontal="center"/>
    </xf>
    <xf numFmtId="166" fontId="2" fillId="2" borderId="22" xfId="1" applyNumberFormat="1" applyFont="1" applyFill="1" applyBorder="1" applyAlignment="1">
      <alignment horizontal="center"/>
    </xf>
    <xf numFmtId="166" fontId="2" fillId="2" borderId="23" xfId="1" applyNumberFormat="1" applyFont="1" applyFill="1" applyBorder="1" applyAlignment="1">
      <alignment horizontal="center"/>
    </xf>
    <xf numFmtId="0" fontId="2" fillId="2" borderId="24" xfId="1" applyFont="1" applyFill="1" applyBorder="1" applyAlignment="1">
      <alignment horizontal="right"/>
    </xf>
    <xf numFmtId="166" fontId="1" fillId="2" borderId="25" xfId="1" applyNumberFormat="1" applyFont="1" applyFill="1" applyBorder="1" applyAlignment="1">
      <alignment horizontal="center"/>
    </xf>
    <xf numFmtId="166" fontId="1" fillId="2" borderId="26" xfId="1" applyNumberFormat="1" applyFont="1" applyFill="1" applyBorder="1" applyAlignment="1">
      <alignment horizontal="center"/>
    </xf>
    <xf numFmtId="166" fontId="1" fillId="2" borderId="27" xfId="1" applyNumberFormat="1" applyFont="1" applyFill="1" applyBorder="1" applyAlignment="1">
      <alignment horizontal="center"/>
    </xf>
    <xf numFmtId="164" fontId="2" fillId="2" borderId="0" xfId="1" applyNumberFormat="1" applyFont="1" applyFill="1"/>
    <xf numFmtId="0" fontId="1" fillId="2" borderId="12" xfId="1" applyFont="1" applyFill="1" applyBorder="1" applyAlignment="1">
      <alignment horizontal="center" vertical="center"/>
    </xf>
    <xf numFmtId="0" fontId="1" fillId="2" borderId="12" xfId="1" applyFont="1" applyFill="1" applyBorder="1" applyAlignment="1">
      <alignment horizontal="center" wrapText="1"/>
    </xf>
    <xf numFmtId="169" fontId="1" fillId="2" borderId="31" xfId="1" applyNumberFormat="1" applyFont="1" applyFill="1" applyBorder="1" applyAlignment="1">
      <alignment horizontal="center" vertical="center"/>
    </xf>
    <xf numFmtId="165" fontId="1" fillId="2" borderId="28" xfId="1" applyNumberFormat="1" applyFont="1" applyFill="1" applyBorder="1" applyAlignment="1">
      <alignment horizontal="center"/>
    </xf>
    <xf numFmtId="168" fontId="1" fillId="2" borderId="29" xfId="1" applyNumberFormat="1" applyFont="1" applyFill="1" applyBorder="1" applyAlignment="1">
      <alignment horizontal="center" vertical="center"/>
    </xf>
    <xf numFmtId="169" fontId="1" fillId="2" borderId="32" xfId="1" applyNumberFormat="1" applyFont="1" applyFill="1" applyBorder="1" applyAlignment="1">
      <alignment horizontal="center" vertical="center"/>
    </xf>
    <xf numFmtId="165" fontId="1" fillId="2" borderId="18" xfId="1" applyNumberFormat="1" applyFont="1" applyFill="1" applyBorder="1" applyAlignment="1">
      <alignment horizontal="center"/>
    </xf>
    <xf numFmtId="0" fontId="2" fillId="2" borderId="9" xfId="1" applyFont="1" applyFill="1" applyBorder="1"/>
    <xf numFmtId="0" fontId="2" fillId="2" borderId="0" xfId="1" applyFont="1" applyFill="1" applyAlignment="1">
      <alignment horizontal="right"/>
    </xf>
    <xf numFmtId="10" fontId="2" fillId="2" borderId="30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5" fillId="2" borderId="0" xfId="1" applyFill="1"/>
  </cellXfs>
  <cellStyles count="3">
    <cellStyle name="Normal" xfId="0" builtinId="0"/>
    <cellStyle name="Normal 2" xfId="1"/>
    <cellStyle name="Normal 3" xfId="2"/>
  </cellStyles>
  <dxfs count="2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2" workbookViewId="0">
      <selection activeCell="C28" sqref="C28"/>
    </sheetView>
  </sheetViews>
  <sheetFormatPr defaultRowHeight="13.8" x14ac:dyDescent="0.3"/>
  <cols>
    <col min="1" max="1" width="27.5546875" style="4" customWidth="1"/>
    <col min="2" max="2" width="20.44140625" style="4" customWidth="1"/>
    <col min="3" max="3" width="31.88671875" style="4" customWidth="1"/>
    <col min="4" max="4" width="25.88671875" style="4" customWidth="1"/>
    <col min="5" max="5" width="25.6640625" style="4" customWidth="1"/>
    <col min="6" max="6" width="23.109375" style="4" customWidth="1"/>
    <col min="7" max="7" width="28.44140625" style="4" customWidth="1"/>
    <col min="8" max="8" width="21.5546875" style="4" customWidth="1"/>
    <col min="9" max="9" width="9.10937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5">
      <c r="A15" s="236" t="s">
        <v>0</v>
      </c>
      <c r="B15" s="236"/>
      <c r="C15" s="236"/>
      <c r="D15" s="236"/>
      <c r="E15" s="23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127</v>
      </c>
      <c r="D17" s="9"/>
      <c r="E17" s="10"/>
    </row>
    <row r="18" spans="1:6" ht="16.5" customHeight="1" x14ac:dyDescent="0.3">
      <c r="A18" s="11" t="s">
        <v>4</v>
      </c>
      <c r="B18" s="12" t="s">
        <v>6</v>
      </c>
      <c r="C18" s="10"/>
      <c r="D18" s="10"/>
      <c r="E18" s="10"/>
    </row>
    <row r="19" spans="1:6" ht="16.5" customHeight="1" x14ac:dyDescent="0.3">
      <c r="A19" s="11" t="s">
        <v>5</v>
      </c>
      <c r="B19" s="12">
        <v>87.84</v>
      </c>
      <c r="C19" s="10"/>
      <c r="D19" s="10"/>
      <c r="E19" s="10"/>
    </row>
    <row r="20" spans="1:6" ht="16.5" customHeight="1" x14ac:dyDescent="0.3">
      <c r="A20" s="7" t="s">
        <v>7</v>
      </c>
      <c r="B20" s="12">
        <v>32.49</v>
      </c>
      <c r="C20" s="10"/>
      <c r="D20" s="10"/>
      <c r="E20" s="10"/>
    </row>
    <row r="21" spans="1:6" ht="16.5" customHeight="1" x14ac:dyDescent="0.3">
      <c r="A21" s="7" t="s">
        <v>9</v>
      </c>
      <c r="B21" s="221">
        <f>B20/25</f>
        <v>1.2996000000000001</v>
      </c>
      <c r="C21" s="10"/>
      <c r="D21" s="10"/>
      <c r="E21" s="10"/>
    </row>
    <row r="22" spans="1:6" ht="15.75" customHeight="1" x14ac:dyDescent="0.3">
      <c r="A22" s="10"/>
      <c r="B22" s="10"/>
      <c r="C22" s="10"/>
      <c r="D22" s="10"/>
      <c r="E22" s="10"/>
    </row>
    <row r="23" spans="1:6" ht="16.5" customHeight="1" x14ac:dyDescent="0.3">
      <c r="A23" s="14" t="s">
        <v>11</v>
      </c>
      <c r="B23" s="15" t="s">
        <v>12</v>
      </c>
      <c r="C23" s="14" t="s">
        <v>13</v>
      </c>
      <c r="D23" s="14" t="s">
        <v>14</v>
      </c>
      <c r="E23" s="16" t="s">
        <v>15</v>
      </c>
    </row>
    <row r="24" spans="1:6" ht="16.5" customHeight="1" x14ac:dyDescent="0.3">
      <c r="A24" s="17">
        <v>1</v>
      </c>
      <c r="B24" s="18">
        <v>161481287</v>
      </c>
      <c r="C24" s="18">
        <v>7104.65</v>
      </c>
      <c r="D24" s="19">
        <v>1.08</v>
      </c>
      <c r="E24" s="20">
        <v>5.04</v>
      </c>
    </row>
    <row r="25" spans="1:6" ht="16.5" customHeight="1" x14ac:dyDescent="0.3">
      <c r="A25" s="17">
        <v>2</v>
      </c>
      <c r="B25" s="18">
        <v>165529507</v>
      </c>
      <c r="C25" s="18">
        <v>7070.07</v>
      </c>
      <c r="D25" s="19">
        <v>1.08</v>
      </c>
      <c r="E25" s="19">
        <v>5.03</v>
      </c>
    </row>
    <row r="26" spans="1:6" ht="16.5" customHeight="1" x14ac:dyDescent="0.3">
      <c r="A26" s="17">
        <v>3</v>
      </c>
      <c r="B26" s="18">
        <v>161116129</v>
      </c>
      <c r="C26" s="18">
        <v>7070.88</v>
      </c>
      <c r="D26" s="19">
        <v>1.0900000000000001</v>
      </c>
      <c r="E26" s="19">
        <v>5.03</v>
      </c>
    </row>
    <row r="27" spans="1:6" ht="16.5" customHeight="1" x14ac:dyDescent="0.3">
      <c r="A27" s="17">
        <v>4</v>
      </c>
      <c r="B27" s="18">
        <v>165697587</v>
      </c>
      <c r="C27" s="18">
        <v>7105.61</v>
      </c>
      <c r="D27" s="19">
        <v>1.07</v>
      </c>
      <c r="E27" s="19">
        <v>5.04</v>
      </c>
    </row>
    <row r="28" spans="1:6" ht="16.5" customHeight="1" x14ac:dyDescent="0.3">
      <c r="A28" s="17">
        <v>5</v>
      </c>
      <c r="B28" s="18">
        <v>164022162</v>
      </c>
      <c r="C28" s="19">
        <v>7067.1</v>
      </c>
      <c r="D28" s="19">
        <v>1.08</v>
      </c>
      <c r="E28" s="19">
        <v>5.03</v>
      </c>
    </row>
    <row r="29" spans="1:6" ht="16.5" customHeight="1" x14ac:dyDescent="0.3">
      <c r="A29" s="17"/>
      <c r="B29" s="21"/>
      <c r="C29" s="21"/>
      <c r="D29" s="22"/>
      <c r="E29" s="22"/>
    </row>
    <row r="30" spans="1:6" ht="16.5" customHeight="1" x14ac:dyDescent="0.3">
      <c r="A30" s="23" t="s">
        <v>16</v>
      </c>
      <c r="B30" s="24">
        <f>AVERAGE(B24:B28)</f>
        <v>163569334.40000001</v>
      </c>
      <c r="C30" s="25">
        <f>AVERAGE(C24:C29)</f>
        <v>7083.6619999999994</v>
      </c>
      <c r="D30" s="26">
        <f>AVERAGE(D24:D29)</f>
        <v>1.08</v>
      </c>
      <c r="E30" s="26">
        <f>AVERAGE(E24:E29)</f>
        <v>5.0340000000000007</v>
      </c>
    </row>
    <row r="31" spans="1:6" ht="16.5" customHeight="1" x14ac:dyDescent="0.3">
      <c r="A31" s="27" t="s">
        <v>17</v>
      </c>
      <c r="B31" s="28">
        <f>(STDEV(B24:B28)/B30)</f>
        <v>1.330850916921592E-2</v>
      </c>
      <c r="C31" s="29"/>
      <c r="D31" s="29"/>
      <c r="E31" s="30"/>
      <c r="F31" s="2"/>
    </row>
    <row r="32" spans="1:6" s="2" customFormat="1" ht="16.5" customHeight="1" x14ac:dyDescent="0.3">
      <c r="A32" s="31" t="s">
        <v>18</v>
      </c>
      <c r="B32" s="32">
        <f>COUNT(B24:B29)</f>
        <v>5</v>
      </c>
      <c r="C32" s="33"/>
      <c r="D32" s="34"/>
      <c r="E32" s="35"/>
    </row>
    <row r="33" spans="1:6" s="2" customFormat="1" ht="15.75" customHeight="1" x14ac:dyDescent="0.3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19</v>
      </c>
      <c r="B34" s="37" t="s">
        <v>130</v>
      </c>
      <c r="C34" s="38"/>
      <c r="D34" s="38"/>
      <c r="E34" s="39"/>
    </row>
    <row r="35" spans="1:6" ht="16.5" customHeight="1" x14ac:dyDescent="0.3">
      <c r="A35" s="11"/>
      <c r="B35" s="37" t="s">
        <v>21</v>
      </c>
      <c r="C35" s="38"/>
      <c r="D35" s="38"/>
      <c r="E35" s="39"/>
      <c r="F35" s="2"/>
    </row>
    <row r="36" spans="1:6" ht="16.5" customHeight="1" x14ac:dyDescent="0.3">
      <c r="A36" s="11"/>
      <c r="B36" s="40" t="s">
        <v>129</v>
      </c>
      <c r="C36" s="38"/>
      <c r="D36" s="38"/>
      <c r="E36" s="38"/>
    </row>
    <row r="37" spans="1:6" ht="15.75" customHeight="1" x14ac:dyDescent="0.3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23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7</v>
      </c>
      <c r="B41" s="12"/>
      <c r="C41" s="10"/>
      <c r="D41" s="10"/>
      <c r="E41" s="10"/>
    </row>
    <row r="42" spans="1:6" ht="16.5" customHeight="1" x14ac:dyDescent="0.3">
      <c r="A42" s="7" t="s">
        <v>9</v>
      </c>
      <c r="B42" s="13"/>
      <c r="C42" s="10"/>
      <c r="D42" s="10"/>
      <c r="E42" s="10"/>
    </row>
    <row r="43" spans="1:6" ht="15.75" customHeight="1" x14ac:dyDescent="0.3">
      <c r="A43" s="10"/>
      <c r="B43" s="10"/>
      <c r="C43" s="10"/>
      <c r="D43" s="10"/>
      <c r="E43" s="10"/>
    </row>
    <row r="44" spans="1:6" ht="16.5" customHeight="1" x14ac:dyDescent="0.3">
      <c r="A44" s="14" t="s">
        <v>11</v>
      </c>
      <c r="B44" s="15" t="s">
        <v>12</v>
      </c>
      <c r="C44" s="14" t="s">
        <v>13</v>
      </c>
      <c r="D44" s="14" t="s">
        <v>14</v>
      </c>
      <c r="E44" s="16" t="s">
        <v>15</v>
      </c>
    </row>
    <row r="45" spans="1:6" ht="16.5" customHeight="1" x14ac:dyDescent="0.3">
      <c r="A45" s="17">
        <v>1</v>
      </c>
      <c r="B45" s="238" t="s">
        <v>128</v>
      </c>
      <c r="C45" s="239"/>
      <c r="D45" s="239"/>
      <c r="E45" s="240"/>
    </row>
    <row r="46" spans="1:6" ht="16.5" customHeight="1" x14ac:dyDescent="0.3">
      <c r="A46" s="17">
        <v>2</v>
      </c>
      <c r="B46" s="241"/>
      <c r="C46" s="242"/>
      <c r="D46" s="242"/>
      <c r="E46" s="243"/>
    </row>
    <row r="47" spans="1:6" ht="16.5" customHeight="1" x14ac:dyDescent="0.3">
      <c r="A47" s="17">
        <v>3</v>
      </c>
      <c r="B47" s="241"/>
      <c r="C47" s="242"/>
      <c r="D47" s="242"/>
      <c r="E47" s="243"/>
    </row>
    <row r="48" spans="1:6" ht="16.5" customHeight="1" x14ac:dyDescent="0.3">
      <c r="A48" s="17">
        <v>4</v>
      </c>
      <c r="B48" s="241"/>
      <c r="C48" s="242"/>
      <c r="D48" s="242"/>
      <c r="E48" s="243"/>
    </row>
    <row r="49" spans="1:7" ht="16.5" customHeight="1" x14ac:dyDescent="0.3">
      <c r="A49" s="17">
        <v>5</v>
      </c>
      <c r="B49" s="241"/>
      <c r="C49" s="242"/>
      <c r="D49" s="242"/>
      <c r="E49" s="243"/>
    </row>
    <row r="50" spans="1:7" ht="16.5" customHeight="1" x14ac:dyDescent="0.3">
      <c r="A50" s="17">
        <v>6</v>
      </c>
      <c r="B50" s="244"/>
      <c r="C50" s="245"/>
      <c r="D50" s="245"/>
      <c r="E50" s="246"/>
    </row>
    <row r="51" spans="1:7" ht="16.5" customHeight="1" x14ac:dyDescent="0.3">
      <c r="A51" s="23" t="s">
        <v>16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17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18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3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19</v>
      </c>
      <c r="B55" s="37" t="s">
        <v>20</v>
      </c>
      <c r="C55" s="38"/>
      <c r="D55" s="38"/>
      <c r="E55" s="39"/>
    </row>
    <row r="56" spans="1:7" ht="16.5" customHeight="1" x14ac:dyDescent="0.3">
      <c r="A56" s="11"/>
      <c r="B56" s="37" t="s">
        <v>21</v>
      </c>
      <c r="C56" s="38"/>
      <c r="D56" s="38"/>
      <c r="E56" s="39"/>
      <c r="F56" s="2"/>
    </row>
    <row r="57" spans="1:7" ht="16.5" customHeight="1" x14ac:dyDescent="0.3">
      <c r="A57" s="11"/>
      <c r="B57" s="40" t="s">
        <v>22</v>
      </c>
      <c r="C57" s="38"/>
      <c r="D57" s="39"/>
      <c r="E57" s="38"/>
    </row>
    <row r="58" spans="1:7" ht="14.25" customHeight="1" x14ac:dyDescent="0.3">
      <c r="A58" s="41"/>
      <c r="B58" s="42"/>
      <c r="D58" s="43"/>
      <c r="F58" s="44"/>
      <c r="G58" s="44"/>
    </row>
    <row r="59" spans="1:7" ht="15" customHeight="1" x14ac:dyDescent="0.3">
      <c r="B59" s="237" t="s">
        <v>24</v>
      </c>
      <c r="C59" s="237"/>
      <c r="E59" s="45" t="s">
        <v>25</v>
      </c>
      <c r="F59" s="46"/>
      <c r="G59" s="45" t="s">
        <v>26</v>
      </c>
    </row>
    <row r="60" spans="1:7" ht="15" customHeight="1" x14ac:dyDescent="0.3">
      <c r="A60" s="47" t="s">
        <v>27</v>
      </c>
      <c r="B60" s="48"/>
      <c r="C60" s="48"/>
      <c r="E60" s="48"/>
      <c r="F60" s="2"/>
      <c r="G60" s="49"/>
    </row>
    <row r="61" spans="1:7" ht="15" customHeight="1" x14ac:dyDescent="0.3">
      <c r="A61" s="47" t="s">
        <v>28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3">
    <mergeCell ref="A15:E15"/>
    <mergeCell ref="B59:C59"/>
    <mergeCell ref="B45:E50"/>
  </mergeCells>
  <pageMargins left="0.7" right="0.7" top="0.75" bottom="0.75" header="0.3" footer="0.3"/>
  <pageSetup scale="40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22" workbookViewId="0">
      <selection activeCell="G41" sqref="G41"/>
    </sheetView>
  </sheetViews>
  <sheetFormatPr defaultColWidth="9.109375" defaultRowHeight="15.6" x14ac:dyDescent="0.3"/>
  <cols>
    <col min="1" max="1" width="13.109375" style="300" customWidth="1"/>
    <col min="2" max="2" width="17.88671875" style="349" customWidth="1"/>
    <col min="3" max="3" width="18.88671875" style="300" customWidth="1"/>
    <col min="4" max="4" width="19.6640625" style="297" customWidth="1"/>
    <col min="5" max="5" width="18.44140625" style="300" customWidth="1"/>
    <col min="6" max="6" width="6.44140625" style="291" customWidth="1"/>
    <col min="7" max="7" width="17.109375" style="291" customWidth="1"/>
    <col min="8" max="8" width="13.109375" style="291" customWidth="1"/>
    <col min="9" max="9" width="11" style="291" customWidth="1"/>
    <col min="10" max="10" width="15" style="291" customWidth="1"/>
    <col min="11" max="11" width="7.5546875" style="291" customWidth="1"/>
    <col min="12" max="12" width="13.109375" style="291" customWidth="1"/>
    <col min="13" max="13" width="11" style="291" customWidth="1"/>
    <col min="14" max="14" width="12.33203125" style="291" customWidth="1"/>
    <col min="15" max="15" width="6.5546875" style="291" customWidth="1"/>
    <col min="16" max="16" width="9.109375" style="291"/>
    <col min="17" max="16384" width="9.109375" style="358"/>
  </cols>
  <sheetData>
    <row r="1" spans="1:15" ht="13.8" x14ac:dyDescent="0.3">
      <c r="A1" s="286"/>
      <c r="B1" s="287"/>
      <c r="C1" s="286"/>
      <c r="D1" s="288"/>
      <c r="E1" s="289"/>
      <c r="F1" s="287"/>
      <c r="G1" s="289"/>
      <c r="H1" s="289"/>
      <c r="I1" s="287"/>
      <c r="J1" s="289"/>
      <c r="K1" s="290"/>
      <c r="L1" s="289"/>
      <c r="M1" s="287"/>
      <c r="N1" s="289"/>
      <c r="O1" s="287"/>
    </row>
    <row r="2" spans="1:15" ht="13.8" x14ac:dyDescent="0.3">
      <c r="A2" s="286"/>
      <c r="B2" s="287"/>
      <c r="C2" s="286"/>
      <c r="D2" s="288"/>
      <c r="E2" s="292"/>
      <c r="F2" s="287"/>
      <c r="G2" s="292"/>
      <c r="H2" s="292"/>
      <c r="I2" s="287"/>
      <c r="J2" s="292"/>
      <c r="K2" s="290"/>
      <c r="L2" s="292"/>
      <c r="M2" s="290"/>
      <c r="N2" s="292"/>
      <c r="O2" s="290"/>
    </row>
    <row r="3" spans="1:15" ht="13.8" x14ac:dyDescent="0.3">
      <c r="A3" s="286"/>
      <c r="B3" s="287"/>
      <c r="C3" s="286"/>
      <c r="D3" s="288"/>
      <c r="E3" s="292"/>
      <c r="F3" s="287"/>
      <c r="G3" s="292"/>
      <c r="H3" s="292"/>
      <c r="I3" s="287"/>
      <c r="J3" s="292"/>
      <c r="K3" s="290"/>
      <c r="L3" s="292"/>
      <c r="M3" s="290"/>
      <c r="N3" s="292"/>
      <c r="O3" s="290"/>
    </row>
    <row r="4" spans="1:15" ht="13.8" x14ac:dyDescent="0.3">
      <c r="A4" s="286"/>
      <c r="B4" s="287"/>
      <c r="C4" s="286"/>
      <c r="D4" s="288"/>
      <c r="E4" s="292"/>
      <c r="F4" s="287"/>
      <c r="G4" s="292"/>
      <c r="H4" s="292"/>
      <c r="I4" s="287"/>
      <c r="J4" s="292"/>
      <c r="K4" s="290"/>
      <c r="L4" s="292"/>
      <c r="M4" s="290"/>
      <c r="N4" s="292"/>
      <c r="O4" s="290"/>
    </row>
    <row r="5" spans="1:15" ht="13.8" x14ac:dyDescent="0.3">
      <c r="A5" s="286"/>
      <c r="B5" s="287"/>
      <c r="C5" s="286"/>
      <c r="D5" s="288"/>
      <c r="E5" s="292"/>
      <c r="F5" s="287"/>
      <c r="G5" s="292"/>
      <c r="H5" s="292"/>
      <c r="I5" s="287"/>
      <c r="J5" s="292"/>
      <c r="K5" s="290"/>
      <c r="L5" s="292"/>
      <c r="M5" s="290"/>
      <c r="N5" s="292"/>
      <c r="O5" s="290"/>
    </row>
    <row r="6" spans="1:15" ht="13.8" x14ac:dyDescent="0.3">
      <c r="A6" s="286"/>
      <c r="B6" s="287"/>
      <c r="C6" s="286"/>
      <c r="D6" s="288"/>
      <c r="E6" s="292"/>
      <c r="F6" s="287"/>
      <c r="G6" s="292"/>
      <c r="H6" s="292"/>
      <c r="I6" s="287"/>
      <c r="J6" s="292"/>
      <c r="K6" s="290"/>
      <c r="L6" s="292"/>
      <c r="M6" s="290"/>
      <c r="N6" s="292"/>
      <c r="O6" s="290"/>
    </row>
    <row r="7" spans="1:15" ht="13.8" x14ac:dyDescent="0.3">
      <c r="A7" s="286"/>
      <c r="B7" s="287"/>
      <c r="C7" s="286"/>
      <c r="D7" s="288"/>
      <c r="E7" s="292"/>
      <c r="F7" s="287"/>
      <c r="G7" s="292"/>
      <c r="H7" s="292"/>
      <c r="I7" s="287"/>
      <c r="J7" s="292"/>
      <c r="K7" s="290"/>
      <c r="L7" s="292"/>
      <c r="M7" s="290"/>
      <c r="N7" s="292"/>
      <c r="O7" s="290"/>
    </row>
    <row r="8" spans="1:15" ht="19.5" customHeight="1" x14ac:dyDescent="0.3">
      <c r="A8" s="293" t="s">
        <v>29</v>
      </c>
      <c r="B8" s="293"/>
      <c r="C8" s="293"/>
      <c r="D8" s="293"/>
      <c r="E8" s="293"/>
      <c r="F8" s="293"/>
      <c r="G8" s="293"/>
      <c r="H8" s="292"/>
      <c r="I8" s="287"/>
      <c r="J8" s="292"/>
      <c r="K8" s="290"/>
      <c r="L8" s="292"/>
      <c r="M8" s="290"/>
      <c r="N8" s="292"/>
      <c r="O8" s="290"/>
    </row>
    <row r="9" spans="1:15" ht="19.5" customHeight="1" x14ac:dyDescent="0.3">
      <c r="A9" s="294"/>
      <c r="B9" s="294"/>
      <c r="C9" s="294"/>
      <c r="D9" s="294"/>
      <c r="E9" s="294"/>
      <c r="F9" s="294"/>
      <c r="G9" s="294"/>
      <c r="H9" s="292"/>
      <c r="I9" s="287"/>
      <c r="J9" s="292"/>
      <c r="K9" s="290"/>
      <c r="L9" s="292"/>
      <c r="M9" s="290"/>
      <c r="N9" s="292"/>
      <c r="O9" s="290"/>
    </row>
    <row r="10" spans="1:15" ht="16.5" customHeight="1" x14ac:dyDescent="0.3">
      <c r="A10" s="295" t="s">
        <v>30</v>
      </c>
      <c r="B10" s="295"/>
      <c r="C10" s="295"/>
      <c r="D10" s="295"/>
      <c r="E10" s="295"/>
      <c r="F10" s="295"/>
      <c r="G10" s="295"/>
      <c r="H10" s="292"/>
      <c r="I10" s="287"/>
      <c r="J10" s="292"/>
      <c r="K10" s="290"/>
      <c r="L10" s="292"/>
      <c r="M10" s="290"/>
      <c r="N10" s="292"/>
      <c r="O10" s="290"/>
    </row>
    <row r="11" spans="1:15" ht="15" customHeight="1" x14ac:dyDescent="0.3">
      <c r="A11" s="296" t="s">
        <v>31</v>
      </c>
      <c r="B11" s="296"/>
      <c r="C11" s="286" t="s">
        <v>135</v>
      </c>
      <c r="E11" s="292"/>
      <c r="F11" s="287"/>
      <c r="G11" s="292"/>
      <c r="H11" s="292"/>
      <c r="I11" s="287"/>
      <c r="J11" s="292"/>
      <c r="K11" s="290"/>
      <c r="L11" s="292"/>
      <c r="M11" s="290"/>
      <c r="N11" s="292"/>
      <c r="O11" s="290"/>
    </row>
    <row r="12" spans="1:15" ht="15" customHeight="1" x14ac:dyDescent="0.3">
      <c r="A12" s="296" t="s">
        <v>32</v>
      </c>
      <c r="B12" s="296"/>
      <c r="C12" s="286" t="s">
        <v>133</v>
      </c>
      <c r="E12" s="292"/>
      <c r="F12" s="287"/>
      <c r="G12" s="292"/>
      <c r="H12" s="292"/>
      <c r="I12" s="287"/>
      <c r="J12" s="292"/>
      <c r="K12" s="290"/>
      <c r="L12" s="292"/>
      <c r="M12" s="290"/>
      <c r="N12" s="292"/>
      <c r="O12" s="290"/>
    </row>
    <row r="13" spans="1:15" ht="15" customHeight="1" x14ac:dyDescent="0.3">
      <c r="A13" s="296" t="s">
        <v>33</v>
      </c>
      <c r="B13" s="296"/>
      <c r="C13" s="286" t="s">
        <v>8</v>
      </c>
      <c r="E13" s="292"/>
      <c r="F13" s="287"/>
      <c r="G13" s="292"/>
      <c r="H13" s="292"/>
      <c r="I13" s="287"/>
      <c r="J13" s="292"/>
      <c r="K13" s="290"/>
      <c r="L13" s="292"/>
      <c r="M13" s="290"/>
      <c r="N13" s="292"/>
      <c r="O13" s="290"/>
    </row>
    <row r="14" spans="1:15" ht="15" customHeight="1" x14ac:dyDescent="0.3">
      <c r="A14" s="296" t="s">
        <v>34</v>
      </c>
      <c r="B14" s="296"/>
      <c r="C14" s="298" t="s">
        <v>134</v>
      </c>
      <c r="D14" s="298"/>
      <c r="E14" s="298"/>
      <c r="F14" s="298"/>
      <c r="G14" s="298"/>
      <c r="H14" s="292"/>
      <c r="I14" s="287"/>
      <c r="J14" s="292"/>
      <c r="K14" s="290"/>
      <c r="L14" s="292"/>
      <c r="M14" s="290"/>
      <c r="N14" s="292"/>
      <c r="O14" s="290"/>
    </row>
    <row r="15" spans="1:15" ht="15" customHeight="1" x14ac:dyDescent="0.3">
      <c r="A15" s="296" t="s">
        <v>35</v>
      </c>
      <c r="B15" s="296"/>
      <c r="C15" s="299" t="s">
        <v>136</v>
      </c>
      <c r="D15" s="286"/>
      <c r="E15" s="292"/>
      <c r="F15" s="287"/>
      <c r="G15" s="292"/>
      <c r="H15" s="292"/>
      <c r="I15" s="287"/>
      <c r="J15" s="292"/>
      <c r="K15" s="290"/>
      <c r="L15" s="292"/>
      <c r="M15" s="290"/>
      <c r="N15" s="292"/>
      <c r="O15" s="290"/>
    </row>
    <row r="16" spans="1:15" ht="15" customHeight="1" x14ac:dyDescent="0.3">
      <c r="A16" s="296" t="s">
        <v>36</v>
      </c>
      <c r="B16" s="296"/>
      <c r="C16" s="299" t="s">
        <v>137</v>
      </c>
      <c r="D16" s="286"/>
      <c r="E16" s="292"/>
      <c r="F16" s="287"/>
      <c r="G16" s="292"/>
      <c r="H16" s="292"/>
      <c r="I16" s="287"/>
      <c r="J16" s="292"/>
      <c r="K16" s="290"/>
      <c r="L16" s="292"/>
      <c r="M16" s="290"/>
      <c r="N16" s="292"/>
      <c r="O16" s="290"/>
    </row>
    <row r="17" spans="1:15" ht="14.4" x14ac:dyDescent="0.3">
      <c r="B17" s="286"/>
      <c r="D17" s="286"/>
      <c r="E17" s="292"/>
      <c r="F17" s="287"/>
      <c r="G17" s="292"/>
      <c r="H17" s="292"/>
      <c r="I17" s="287"/>
      <c r="J17" s="292"/>
      <c r="K17" s="290"/>
      <c r="L17" s="292"/>
      <c r="M17" s="290"/>
      <c r="N17" s="292"/>
      <c r="O17" s="290"/>
    </row>
    <row r="18" spans="1:15" ht="15" customHeight="1" x14ac:dyDescent="0.3">
      <c r="A18" s="301" t="s">
        <v>1</v>
      </c>
      <c r="B18" s="301"/>
      <c r="C18" s="302" t="s">
        <v>37</v>
      </c>
      <c r="D18" s="286"/>
      <c r="E18" s="292"/>
      <c r="F18" s="287"/>
      <c r="G18" s="292"/>
      <c r="H18" s="292"/>
      <c r="I18" s="287"/>
      <c r="J18" s="292"/>
      <c r="K18" s="290"/>
      <c r="L18" s="292"/>
      <c r="M18" s="290"/>
      <c r="N18" s="292"/>
      <c r="O18" s="290"/>
    </row>
    <row r="19" spans="1:15" ht="15.75" customHeight="1" thickBot="1" x14ac:dyDescent="0.35">
      <c r="A19" s="291"/>
      <c r="B19" s="286"/>
      <c r="D19" s="286"/>
      <c r="E19" s="292"/>
      <c r="F19" s="287"/>
      <c r="G19" s="292"/>
      <c r="H19" s="292"/>
      <c r="I19" s="287"/>
      <c r="J19" s="292"/>
      <c r="K19" s="290"/>
      <c r="L19" s="292"/>
      <c r="M19" s="290"/>
      <c r="N19" s="292"/>
      <c r="O19" s="290"/>
    </row>
    <row r="20" spans="1:15" ht="15.75" customHeight="1" thickBot="1" x14ac:dyDescent="0.35">
      <c r="A20" s="303" t="s">
        <v>38</v>
      </c>
      <c r="B20" s="304" t="s">
        <v>39</v>
      </c>
      <c r="C20" s="305" t="s">
        <v>40</v>
      </c>
      <c r="D20" s="303" t="s">
        <v>41</v>
      </c>
      <c r="E20" s="306" t="s">
        <v>42</v>
      </c>
      <c r="G20" s="292"/>
      <c r="H20" s="307"/>
      <c r="I20" s="287"/>
      <c r="J20" s="292"/>
      <c r="K20" s="290"/>
      <c r="L20" s="307"/>
      <c r="M20" s="290"/>
      <c r="N20" s="307"/>
      <c r="O20" s="290"/>
    </row>
    <row r="21" spans="1:15" ht="13.8" x14ac:dyDescent="0.3">
      <c r="A21" s="308">
        <v>1</v>
      </c>
      <c r="B21" s="309">
        <v>662.43</v>
      </c>
      <c r="C21" s="310">
        <v>100.55</v>
      </c>
      <c r="D21" s="311">
        <f t="shared" ref="D21:D40" si="0">B21-C21</f>
        <v>561.88</v>
      </c>
      <c r="E21" s="312">
        <f t="shared" ref="E21:E40" si="1">(D21-$D$43)/$D$43</f>
        <v>-2.5509615367542344E-3</v>
      </c>
      <c r="G21" s="292"/>
      <c r="H21" s="307"/>
      <c r="I21" s="287"/>
      <c r="J21" s="292"/>
      <c r="K21" s="290"/>
      <c r="L21" s="307"/>
      <c r="M21" s="290"/>
      <c r="N21" s="307"/>
      <c r="O21" s="290"/>
    </row>
    <row r="22" spans="1:15" ht="13.8" x14ac:dyDescent="0.3">
      <c r="A22" s="313">
        <v>2</v>
      </c>
      <c r="B22" s="314">
        <v>648.98</v>
      </c>
      <c r="C22" s="315">
        <v>99.01</v>
      </c>
      <c r="D22" s="316">
        <f t="shared" si="0"/>
        <v>549.97</v>
      </c>
      <c r="E22" s="312">
        <f t="shared" si="1"/>
        <v>-2.3693586382089939E-2</v>
      </c>
      <c r="G22" s="292"/>
      <c r="H22" s="307"/>
      <c r="I22" s="287"/>
      <c r="J22" s="292"/>
      <c r="K22" s="290"/>
      <c r="L22" s="307"/>
      <c r="M22" s="290"/>
      <c r="N22" s="307"/>
      <c r="O22" s="290"/>
    </row>
    <row r="23" spans="1:15" ht="13.8" x14ac:dyDescent="0.3">
      <c r="A23" s="313">
        <v>3</v>
      </c>
      <c r="B23" s="314">
        <v>685.54</v>
      </c>
      <c r="C23" s="315">
        <v>101.89</v>
      </c>
      <c r="D23" s="316">
        <f t="shared" si="0"/>
        <v>583.65</v>
      </c>
      <c r="E23" s="312">
        <f t="shared" si="1"/>
        <v>3.6095129385408584E-2</v>
      </c>
      <c r="G23" s="292"/>
      <c r="H23" s="307"/>
      <c r="I23" s="287"/>
      <c r="J23" s="292"/>
      <c r="K23" s="290"/>
      <c r="L23" s="307"/>
      <c r="M23" s="290"/>
      <c r="N23" s="307"/>
      <c r="O23" s="290"/>
    </row>
    <row r="24" spans="1:15" ht="13.8" x14ac:dyDescent="0.3">
      <c r="A24" s="313">
        <v>4</v>
      </c>
      <c r="B24" s="314">
        <v>691.42</v>
      </c>
      <c r="C24" s="315">
        <v>99.93</v>
      </c>
      <c r="D24" s="316">
        <f t="shared" si="0"/>
        <v>591.49</v>
      </c>
      <c r="E24" s="312">
        <f t="shared" si="1"/>
        <v>5.0012692675705225E-2</v>
      </c>
      <c r="G24" s="292"/>
      <c r="H24" s="307"/>
      <c r="I24" s="287"/>
      <c r="J24" s="292"/>
      <c r="K24" s="290"/>
      <c r="L24" s="307"/>
      <c r="M24" s="290"/>
      <c r="N24" s="307"/>
      <c r="O24" s="290"/>
    </row>
    <row r="25" spans="1:15" ht="13.8" x14ac:dyDescent="0.3">
      <c r="A25" s="313">
        <v>5</v>
      </c>
      <c r="B25" s="314">
        <v>651.16</v>
      </c>
      <c r="C25" s="315">
        <v>98.59</v>
      </c>
      <c r="D25" s="316">
        <f t="shared" si="0"/>
        <v>552.56999999999994</v>
      </c>
      <c r="E25" s="312">
        <f t="shared" si="1"/>
        <v>-1.9078067943981536E-2</v>
      </c>
      <c r="G25" s="292"/>
      <c r="H25" s="307"/>
      <c r="I25" s="287"/>
      <c r="J25" s="292"/>
      <c r="K25" s="290"/>
      <c r="L25" s="307"/>
      <c r="M25" s="290"/>
      <c r="N25" s="307"/>
      <c r="O25" s="290"/>
    </row>
    <row r="26" spans="1:15" ht="13.8" x14ac:dyDescent="0.3">
      <c r="A26" s="313">
        <v>6</v>
      </c>
      <c r="B26" s="314">
        <v>659.76</v>
      </c>
      <c r="C26" s="315">
        <v>93.83</v>
      </c>
      <c r="D26" s="316">
        <f t="shared" si="0"/>
        <v>565.92999999999995</v>
      </c>
      <c r="E26" s="312">
        <f t="shared" si="1"/>
        <v>4.6385960302994071E-3</v>
      </c>
      <c r="G26" s="292"/>
      <c r="H26" s="307"/>
      <c r="I26" s="287"/>
      <c r="J26" s="292"/>
      <c r="K26" s="290"/>
      <c r="L26" s="307"/>
      <c r="M26" s="290"/>
      <c r="N26" s="307"/>
      <c r="O26" s="290"/>
    </row>
    <row r="27" spans="1:15" ht="13.8" x14ac:dyDescent="0.3">
      <c r="A27" s="313">
        <v>7</v>
      </c>
      <c r="B27" s="314">
        <v>685.68</v>
      </c>
      <c r="C27" s="315">
        <v>97.9</v>
      </c>
      <c r="D27" s="316">
        <f t="shared" si="0"/>
        <v>587.78</v>
      </c>
      <c r="E27" s="312">
        <f t="shared" si="1"/>
        <v>4.3426702904404098E-2</v>
      </c>
      <c r="G27" s="292"/>
      <c r="H27" s="307"/>
      <c r="I27" s="287"/>
      <c r="J27" s="292"/>
      <c r="K27" s="290"/>
      <c r="L27" s="307"/>
      <c r="M27" s="290"/>
      <c r="N27" s="307"/>
      <c r="O27" s="290"/>
    </row>
    <row r="28" spans="1:15" ht="13.8" x14ac:dyDescent="0.3">
      <c r="A28" s="313">
        <v>8</v>
      </c>
      <c r="B28" s="314">
        <v>658.22</v>
      </c>
      <c r="C28" s="315">
        <v>101.47</v>
      </c>
      <c r="D28" s="316">
        <f t="shared" si="0"/>
        <v>556.75</v>
      </c>
      <c r="E28" s="312">
        <f t="shared" si="1"/>
        <v>-1.1657734455022275E-2</v>
      </c>
      <c r="G28" s="292"/>
      <c r="H28" s="307"/>
      <c r="I28" s="287"/>
      <c r="J28" s="292"/>
      <c r="K28" s="290"/>
      <c r="L28" s="307"/>
      <c r="M28" s="290"/>
      <c r="N28" s="307"/>
      <c r="O28" s="290"/>
    </row>
    <row r="29" spans="1:15" ht="13.8" x14ac:dyDescent="0.3">
      <c r="A29" s="313">
        <v>9</v>
      </c>
      <c r="B29" s="314">
        <v>691.35</v>
      </c>
      <c r="C29" s="315">
        <v>99.75</v>
      </c>
      <c r="D29" s="316">
        <f t="shared" si="0"/>
        <v>591.6</v>
      </c>
      <c r="E29" s="312">
        <f t="shared" si="1"/>
        <v>5.0207964609625226E-2</v>
      </c>
      <c r="G29" s="292"/>
      <c r="H29" s="307"/>
      <c r="I29" s="287"/>
      <c r="J29" s="292"/>
      <c r="K29" s="290"/>
      <c r="L29" s="307"/>
      <c r="M29" s="290"/>
      <c r="N29" s="307"/>
      <c r="O29" s="290"/>
    </row>
    <row r="30" spans="1:15" ht="13.8" x14ac:dyDescent="0.3">
      <c r="A30" s="313">
        <v>10</v>
      </c>
      <c r="B30" s="317">
        <v>645.79</v>
      </c>
      <c r="C30" s="315">
        <v>100.02</v>
      </c>
      <c r="D30" s="316">
        <f t="shared" si="0"/>
        <v>545.77</v>
      </c>
      <c r="E30" s="312">
        <f t="shared" si="1"/>
        <v>-3.114942385903462E-2</v>
      </c>
      <c r="G30" s="292"/>
      <c r="H30" s="307"/>
      <c r="I30" s="287"/>
      <c r="J30" s="292"/>
      <c r="K30" s="290"/>
      <c r="L30" s="307"/>
      <c r="M30" s="290"/>
      <c r="N30" s="307"/>
      <c r="O30" s="290"/>
    </row>
    <row r="31" spans="1:15" ht="13.8" x14ac:dyDescent="0.3">
      <c r="A31" s="313">
        <v>11</v>
      </c>
      <c r="B31" s="317">
        <v>651.94000000000005</v>
      </c>
      <c r="C31" s="315">
        <v>96.87</v>
      </c>
      <c r="D31" s="316">
        <f t="shared" si="0"/>
        <v>555.07000000000005</v>
      </c>
      <c r="E31" s="312">
        <f t="shared" si="1"/>
        <v>-1.4640069445800026E-2</v>
      </c>
      <c r="G31" s="318"/>
      <c r="H31" s="318"/>
      <c r="I31" s="318"/>
      <c r="J31" s="318"/>
      <c r="K31" s="290"/>
      <c r="L31" s="318"/>
      <c r="M31" s="290"/>
      <c r="N31" s="318"/>
      <c r="O31" s="290"/>
    </row>
    <row r="32" spans="1:15" ht="13.8" x14ac:dyDescent="0.3">
      <c r="A32" s="313">
        <v>12</v>
      </c>
      <c r="B32" s="317">
        <v>684.94</v>
      </c>
      <c r="C32" s="315">
        <v>97.37</v>
      </c>
      <c r="D32" s="316">
        <f t="shared" si="0"/>
        <v>587.57000000000005</v>
      </c>
      <c r="E32" s="312">
        <f t="shared" si="1"/>
        <v>4.3053911030557002E-2</v>
      </c>
      <c r="G32" s="318"/>
      <c r="H32" s="318"/>
      <c r="I32" s="318"/>
      <c r="J32" s="318"/>
      <c r="K32" s="290"/>
      <c r="L32" s="318"/>
      <c r="M32" s="318"/>
      <c r="N32" s="318"/>
      <c r="O32" s="318"/>
    </row>
    <row r="33" spans="1:15" ht="13.8" x14ac:dyDescent="0.3">
      <c r="A33" s="313">
        <v>13</v>
      </c>
      <c r="B33" s="317">
        <v>674.75</v>
      </c>
      <c r="C33" s="315">
        <v>101.44</v>
      </c>
      <c r="D33" s="316">
        <f t="shared" si="0"/>
        <v>573.30999999999995</v>
      </c>
      <c r="E33" s="312">
        <f t="shared" si="1"/>
        <v>1.7739567596930628E-2</v>
      </c>
      <c r="G33" s="319"/>
      <c r="H33" s="319"/>
      <c r="I33" s="319"/>
      <c r="J33" s="319"/>
      <c r="K33" s="320"/>
      <c r="L33" s="319"/>
      <c r="M33" s="319"/>
      <c r="N33" s="321"/>
      <c r="O33" s="319"/>
    </row>
    <row r="34" spans="1:15" ht="13.8" x14ac:dyDescent="0.3">
      <c r="A34" s="313">
        <v>14</v>
      </c>
      <c r="B34" s="317">
        <v>611.05999999999995</v>
      </c>
      <c r="C34" s="315">
        <v>98.94</v>
      </c>
      <c r="D34" s="316">
        <f t="shared" si="0"/>
        <v>512.11999999999989</v>
      </c>
      <c r="E34" s="312">
        <f t="shared" si="1"/>
        <v>-9.0884883644555214E-2</v>
      </c>
      <c r="G34" s="322"/>
      <c r="H34" s="323"/>
      <c r="I34" s="323"/>
      <c r="J34" s="322"/>
      <c r="K34" s="324"/>
      <c r="L34" s="325"/>
      <c r="M34" s="323"/>
      <c r="N34" s="325"/>
      <c r="O34" s="323"/>
    </row>
    <row r="35" spans="1:15" ht="13.8" x14ac:dyDescent="0.3">
      <c r="A35" s="313">
        <v>15</v>
      </c>
      <c r="B35" s="317">
        <v>651.45000000000005</v>
      </c>
      <c r="C35" s="315">
        <v>101.19</v>
      </c>
      <c r="D35" s="316">
        <f t="shared" si="0"/>
        <v>550.26</v>
      </c>
      <c r="E35" s="312">
        <f t="shared" si="1"/>
        <v>-2.3178778556300971E-2</v>
      </c>
      <c r="G35" s="322"/>
      <c r="J35" s="322"/>
      <c r="K35" s="324"/>
      <c r="L35" s="325"/>
      <c r="N35" s="325"/>
    </row>
    <row r="36" spans="1:15" ht="13.8" x14ac:dyDescent="0.3">
      <c r="A36" s="313">
        <v>16</v>
      </c>
      <c r="B36" s="317">
        <v>687.8</v>
      </c>
      <c r="C36" s="315">
        <v>100.97</v>
      </c>
      <c r="D36" s="316">
        <f t="shared" si="0"/>
        <v>586.82999999999993</v>
      </c>
      <c r="E36" s="312">
        <f t="shared" si="1"/>
        <v>4.1740263475095116E-2</v>
      </c>
      <c r="G36" s="326"/>
      <c r="H36" s="326"/>
    </row>
    <row r="37" spans="1:15" ht="13.8" x14ac:dyDescent="0.3">
      <c r="A37" s="313">
        <v>17</v>
      </c>
      <c r="B37" s="317">
        <v>648.77</v>
      </c>
      <c r="C37" s="315">
        <v>99.36</v>
      </c>
      <c r="D37" s="316">
        <f t="shared" si="0"/>
        <v>549.41</v>
      </c>
      <c r="E37" s="312">
        <f t="shared" si="1"/>
        <v>-2.4687698045682657E-2</v>
      </c>
    </row>
    <row r="38" spans="1:15" ht="13.8" x14ac:dyDescent="0.3">
      <c r="A38" s="313">
        <v>18</v>
      </c>
      <c r="B38" s="317">
        <v>650.45000000000005</v>
      </c>
      <c r="C38" s="315">
        <v>98.26</v>
      </c>
      <c r="D38" s="316">
        <f t="shared" si="0"/>
        <v>552.19000000000005</v>
      </c>
      <c r="E38" s="312">
        <f t="shared" si="1"/>
        <v>-1.9752643715704888E-2</v>
      </c>
    </row>
    <row r="39" spans="1:15" ht="13.8" x14ac:dyDescent="0.3">
      <c r="A39" s="313">
        <v>19</v>
      </c>
      <c r="B39" s="317">
        <v>651.41</v>
      </c>
      <c r="C39" s="315">
        <v>100.2</v>
      </c>
      <c r="D39" s="316">
        <f t="shared" si="0"/>
        <v>551.20999999999992</v>
      </c>
      <c r="E39" s="312">
        <f t="shared" si="1"/>
        <v>-2.1492339126992194E-2</v>
      </c>
    </row>
    <row r="40" spans="1:15" ht="14.25" customHeight="1" thickBot="1" x14ac:dyDescent="0.35">
      <c r="A40" s="327">
        <v>20</v>
      </c>
      <c r="B40" s="328">
        <v>658.56</v>
      </c>
      <c r="C40" s="329">
        <v>97.58</v>
      </c>
      <c r="D40" s="330">
        <f t="shared" si="0"/>
        <v>560.9799999999999</v>
      </c>
      <c r="E40" s="331">
        <f t="shared" si="1"/>
        <v>-4.1486409960996675E-3</v>
      </c>
    </row>
    <row r="41" spans="1:15" ht="14.25" customHeight="1" thickBot="1" x14ac:dyDescent="0.35">
      <c r="B41" s="286"/>
      <c r="D41" s="290"/>
      <c r="G41" s="292"/>
    </row>
    <row r="42" spans="1:15" ht="14.4" x14ac:dyDescent="0.3">
      <c r="A42" s="332" t="s">
        <v>43</v>
      </c>
      <c r="B42" s="333">
        <f>SUM(B21:B40)</f>
        <v>13251.460000000001</v>
      </c>
      <c r="C42" s="334">
        <f>SUM(C21:C40)</f>
        <v>1985.12</v>
      </c>
      <c r="D42" s="335">
        <f>SUM(D21:D40)</f>
        <v>11266.339999999997</v>
      </c>
    </row>
    <row r="43" spans="1:15" ht="15.75" customHeight="1" thickBot="1" x14ac:dyDescent="0.35">
      <c r="A43" s="336" t="s">
        <v>44</v>
      </c>
      <c r="B43" s="337">
        <f>AVERAGE(B21:B40)</f>
        <v>662.57300000000009</v>
      </c>
      <c r="C43" s="338">
        <f>AVERAGE(C21:C40)</f>
        <v>99.256</v>
      </c>
      <c r="D43" s="339">
        <f>AVERAGE(D21:D40)</f>
        <v>563.31699999999978</v>
      </c>
    </row>
    <row r="44" spans="1:15" ht="14.4" x14ac:dyDescent="0.3">
      <c r="A44" s="286"/>
      <c r="B44" s="340"/>
      <c r="C44" s="340"/>
      <c r="D44" s="286"/>
    </row>
    <row r="45" spans="1:15" ht="14.25" customHeight="1" thickBot="1" x14ac:dyDescent="0.35">
      <c r="A45" s="286"/>
      <c r="B45" s="286"/>
      <c r="C45" s="286"/>
      <c r="D45" s="286"/>
    </row>
    <row r="46" spans="1:15" ht="30.75" customHeight="1" thickBot="1" x14ac:dyDescent="0.35">
      <c r="B46" s="341" t="s">
        <v>44</v>
      </c>
      <c r="C46" s="342" t="s">
        <v>45</v>
      </c>
    </row>
    <row r="47" spans="1:15" ht="15.75" customHeight="1" thickBot="1" x14ac:dyDescent="0.35">
      <c r="B47" s="343">
        <f>D43</f>
        <v>563.31699999999978</v>
      </c>
      <c r="C47" s="344">
        <f>-(IF(D43&gt;300, 7.5%, 10%))</f>
        <v>-7.4999999999999997E-2</v>
      </c>
      <c r="D47" s="345">
        <f>IF(D43&lt;300, D43*0.9, D43*0.925)</f>
        <v>521.06822499999987</v>
      </c>
    </row>
    <row r="48" spans="1:15" ht="15.75" customHeight="1" thickBot="1" x14ac:dyDescent="0.35">
      <c r="B48" s="346"/>
      <c r="C48" s="347">
        <f>+(IF(D43&gt;300, 7.5%, 10%))</f>
        <v>7.4999999999999997E-2</v>
      </c>
      <c r="D48" s="345">
        <f>IF(D43&lt;300, D43*1.1, D43*1.075)</f>
        <v>605.56577499999969</v>
      </c>
    </row>
    <row r="49" spans="1:7" ht="14.25" customHeight="1" thickBot="1" x14ac:dyDescent="0.35">
      <c r="A49" s="348"/>
      <c r="D49" s="350"/>
    </row>
    <row r="50" spans="1:7" ht="15" customHeight="1" x14ac:dyDescent="0.3">
      <c r="B50" s="351" t="s">
        <v>24</v>
      </c>
      <c r="C50" s="351"/>
      <c r="D50" s="286"/>
      <c r="E50" s="352" t="s">
        <v>25</v>
      </c>
      <c r="F50" s="353"/>
      <c r="G50" s="352" t="s">
        <v>26</v>
      </c>
    </row>
    <row r="51" spans="1:7" ht="15" customHeight="1" x14ac:dyDescent="0.3">
      <c r="A51" s="354" t="s">
        <v>27</v>
      </c>
      <c r="B51" s="355"/>
      <c r="C51" s="355"/>
      <c r="D51" s="286"/>
      <c r="E51" s="355"/>
      <c r="F51" s="286"/>
      <c r="G51" s="355"/>
    </row>
    <row r="52" spans="1:7" ht="15" customHeight="1" x14ac:dyDescent="0.3">
      <c r="A52" s="354" t="s">
        <v>28</v>
      </c>
      <c r="B52" s="356"/>
      <c r="C52" s="356"/>
      <c r="D52" s="286"/>
      <c r="E52" s="356"/>
      <c r="F52" s="286"/>
      <c r="G52" s="357"/>
    </row>
  </sheetData>
  <sheetProtection password="F258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8:G8"/>
    <mergeCell ref="A10:G10"/>
    <mergeCell ref="A11:B11"/>
    <mergeCell ref="A12:B12"/>
    <mergeCell ref="A13:B13"/>
    <mergeCell ref="A14:B14"/>
    <mergeCell ref="C14:G14"/>
  </mergeCells>
  <conditionalFormatting sqref="E21">
    <cfRule type="cellIs" dxfId="19" priority="1" operator="notBetween">
      <formula>IF(+$D$43&lt;300, -10.5%, -7.5%)</formula>
      <formula>IF(+$D$43&lt;300, 10.5%, 7.5%)</formula>
    </cfRule>
  </conditionalFormatting>
  <conditionalFormatting sqref="E22">
    <cfRule type="cellIs" dxfId="18" priority="2" operator="notBetween">
      <formula>IF(+$D$43&lt;300, -10.5%, -7.5%)</formula>
      <formula>IF(+$D$43&lt;300, 10.5%, 7.5%)</formula>
    </cfRule>
  </conditionalFormatting>
  <conditionalFormatting sqref="E23">
    <cfRule type="cellIs" dxfId="17" priority="3" operator="notBetween">
      <formula>IF(+$D$43&lt;300, -10.5%, -7.5%)</formula>
      <formula>IF(+$D$43&lt;300, 10.5%, 7.5%)</formula>
    </cfRule>
  </conditionalFormatting>
  <conditionalFormatting sqref="E24">
    <cfRule type="cellIs" dxfId="16" priority="4" operator="notBetween">
      <formula>IF(+$D$43&lt;300, -10.5%, -7.5%)</formula>
      <formula>IF(+$D$43&lt;300, 10.5%, 7.5%)</formula>
    </cfRule>
  </conditionalFormatting>
  <conditionalFormatting sqref="E25">
    <cfRule type="cellIs" dxfId="15" priority="5" operator="notBetween">
      <formula>IF(+$D$43&lt;300, -10.5%, -7.5%)</formula>
      <formula>IF(+$D$43&lt;300, 10.5%, 7.5%)</formula>
    </cfRule>
  </conditionalFormatting>
  <conditionalFormatting sqref="E26">
    <cfRule type="cellIs" dxfId="14" priority="6" operator="notBetween">
      <formula>IF(+$D$43&lt;300, -10.5%, -7.5%)</formula>
      <formula>IF(+$D$43&lt;300, 10.5%, 7.5%)</formula>
    </cfRule>
  </conditionalFormatting>
  <conditionalFormatting sqref="E27">
    <cfRule type="cellIs" dxfId="13" priority="7" operator="notBetween">
      <formula>IF(+$D$43&lt;300, -10.5%, -7.5%)</formula>
      <formula>IF(+$D$43&lt;300, 10.5%, 7.5%)</formula>
    </cfRule>
  </conditionalFormatting>
  <conditionalFormatting sqref="E28">
    <cfRule type="cellIs" dxfId="12" priority="8" operator="notBetween">
      <formula>IF(+$D$43&lt;300, -10.5%, -7.5%)</formula>
      <formula>IF(+$D$43&lt;300, 10.5%, 7.5%)</formula>
    </cfRule>
  </conditionalFormatting>
  <conditionalFormatting sqref="E29">
    <cfRule type="cellIs" dxfId="11" priority="9" operator="notBetween">
      <formula>IF(+$D$43&lt;300, -10.5%, -7.5%)</formula>
      <formula>IF(+$D$43&lt;300, 10.5%, 7.5%)</formula>
    </cfRule>
  </conditionalFormatting>
  <conditionalFormatting sqref="E30">
    <cfRule type="cellIs" dxfId="10" priority="10" operator="notBetween">
      <formula>IF(+$D$43&lt;300, -10.5%, -7.5%)</formula>
      <formula>IF(+$D$43&lt;300, 10.5%, 7.5%)</formula>
    </cfRule>
  </conditionalFormatting>
  <conditionalFormatting sqref="E31">
    <cfRule type="cellIs" dxfId="9" priority="11" operator="notBetween">
      <formula>IF(+$D$43&lt;300, -10.5%, -7.5%)</formula>
      <formula>IF(+$D$43&lt;300, 10.5%, 7.5%)</formula>
    </cfRule>
  </conditionalFormatting>
  <conditionalFormatting sqref="E32">
    <cfRule type="cellIs" dxfId="8" priority="12" operator="notBetween">
      <formula>IF(+$D$43&lt;300, -10.5%, -7.5%)</formula>
      <formula>IF(+$D$43&lt;300, 10.5%, 7.5%)</formula>
    </cfRule>
  </conditionalFormatting>
  <conditionalFormatting sqref="E33">
    <cfRule type="cellIs" dxfId="7" priority="13" operator="notBetween">
      <formula>IF(+$D$43&lt;300, -10.5%, -7.5%)</formula>
      <formula>IF(+$D$43&lt;300, 10.5%, 7.5%)</formula>
    </cfRule>
  </conditionalFormatting>
  <conditionalFormatting sqref="E34">
    <cfRule type="cellIs" dxfId="6" priority="14" operator="notBetween">
      <formula>IF(+$D$43&lt;300, -10.5%, -7.5%)</formula>
      <formula>IF(+$D$43&lt;300, 10.5%, 7.5%)</formula>
    </cfRule>
  </conditionalFormatting>
  <conditionalFormatting sqref="E35">
    <cfRule type="cellIs" dxfId="5" priority="15" operator="notBetween">
      <formula>IF(+$D$43&lt;300, -10.5%, -7.5%)</formula>
      <formula>IF(+$D$43&lt;300, 10.5%, 7.5%)</formula>
    </cfRule>
  </conditionalFormatting>
  <conditionalFormatting sqref="E36">
    <cfRule type="cellIs" dxfId="4" priority="16" operator="notBetween">
      <formula>IF(+$D$43&lt;300, -10.5%, -7.5%)</formula>
      <formula>IF(+$D$43&lt;300, 10.5%, 7.5%)</formula>
    </cfRule>
  </conditionalFormatting>
  <conditionalFormatting sqref="E37">
    <cfRule type="cellIs" dxfId="3" priority="17" operator="notBetween">
      <formula>IF(+$D$43&lt;300, -10.5%, -7.5%)</formula>
      <formula>IF(+$D$43&lt;300, 10.5%, 7.5%)</formula>
    </cfRule>
  </conditionalFormatting>
  <conditionalFormatting sqref="E38">
    <cfRule type="cellIs" dxfId="2" priority="18" operator="notBetween">
      <formula>IF(+$D$43&lt;300, -10.5%, -7.5%)</formula>
      <formula>IF(+$D$43&lt;300, 10.5%, 7.5%)</formula>
    </cfRule>
  </conditionalFormatting>
  <conditionalFormatting sqref="E39">
    <cfRule type="cellIs" dxfId="1" priority="19" operator="notBetween">
      <formula>IF(+$D$43&lt;300, -10.5%, -7.5%)</formula>
      <formula>IF(+$D$43&lt;300, 10.5%, 7.5%)</formula>
    </cfRule>
  </conditionalFormatting>
  <conditionalFormatting sqref="E40">
    <cfRule type="cellIs" dxfId="0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B110" zoomScale="60" zoomScaleNormal="70" zoomScalePageLayoutView="42" workbookViewId="0">
      <selection activeCell="F62" sqref="F62"/>
    </sheetView>
  </sheetViews>
  <sheetFormatPr defaultColWidth="9.109375" defaultRowHeight="13.8" x14ac:dyDescent="0.3"/>
  <cols>
    <col min="1" max="1" width="55.44140625" style="2" customWidth="1"/>
    <col min="2" max="2" width="33.6640625" style="2" customWidth="1"/>
    <col min="3" max="3" width="42.33203125" style="2" customWidth="1"/>
    <col min="4" max="4" width="30.5546875" style="2" customWidth="1"/>
    <col min="5" max="5" width="39.88671875" style="2" customWidth="1"/>
    <col min="6" max="6" width="30.6640625" style="2" customWidth="1"/>
    <col min="7" max="7" width="39.88671875" style="2" customWidth="1"/>
    <col min="8" max="8" width="30" style="2" customWidth="1"/>
    <col min="9" max="9" width="30.33203125" style="2" hidden="1" customWidth="1"/>
    <col min="10" max="10" width="30.44140625" style="2" customWidth="1"/>
    <col min="11" max="11" width="21.33203125" style="2" customWidth="1"/>
    <col min="12" max="12" width="9.109375" style="2"/>
  </cols>
  <sheetData>
    <row r="1" spans="1:9" ht="18.75" customHeight="1" x14ac:dyDescent="0.3">
      <c r="A1" s="249" t="s">
        <v>46</v>
      </c>
      <c r="B1" s="249"/>
      <c r="C1" s="249"/>
      <c r="D1" s="249"/>
      <c r="E1" s="249"/>
      <c r="F1" s="249"/>
      <c r="G1" s="249"/>
      <c r="H1" s="249"/>
      <c r="I1" s="249"/>
    </row>
    <row r="2" spans="1:9" ht="18.75" customHeight="1" x14ac:dyDescent="0.3">
      <c r="A2" s="249"/>
      <c r="B2" s="249"/>
      <c r="C2" s="249"/>
      <c r="D2" s="249"/>
      <c r="E2" s="249"/>
      <c r="F2" s="249"/>
      <c r="G2" s="249"/>
      <c r="H2" s="249"/>
      <c r="I2" s="249"/>
    </row>
    <row r="3" spans="1:9" ht="18.75" customHeight="1" x14ac:dyDescent="0.3">
      <c r="A3" s="249"/>
      <c r="B3" s="249"/>
      <c r="C3" s="249"/>
      <c r="D3" s="249"/>
      <c r="E3" s="249"/>
      <c r="F3" s="249"/>
      <c r="G3" s="249"/>
      <c r="H3" s="249"/>
      <c r="I3" s="249"/>
    </row>
    <row r="4" spans="1:9" ht="18.75" customHeight="1" x14ac:dyDescent="0.3">
      <c r="A4" s="249"/>
      <c r="B4" s="249"/>
      <c r="C4" s="249"/>
      <c r="D4" s="249"/>
      <c r="E4" s="249"/>
      <c r="F4" s="249"/>
      <c r="G4" s="249"/>
      <c r="H4" s="249"/>
      <c r="I4" s="249"/>
    </row>
    <row r="5" spans="1:9" ht="18.75" customHeight="1" x14ac:dyDescent="0.3">
      <c r="A5" s="249"/>
      <c r="B5" s="249"/>
      <c r="C5" s="249"/>
      <c r="D5" s="249"/>
      <c r="E5" s="249"/>
      <c r="F5" s="249"/>
      <c r="G5" s="249"/>
      <c r="H5" s="249"/>
      <c r="I5" s="249"/>
    </row>
    <row r="6" spans="1:9" ht="18.75" customHeight="1" x14ac:dyDescent="0.3">
      <c r="A6" s="249"/>
      <c r="B6" s="249"/>
      <c r="C6" s="249"/>
      <c r="D6" s="249"/>
      <c r="E6" s="249"/>
      <c r="F6" s="249"/>
      <c r="G6" s="249"/>
      <c r="H6" s="249"/>
      <c r="I6" s="249"/>
    </row>
    <row r="7" spans="1:9" ht="18.75" customHeight="1" x14ac:dyDescent="0.3">
      <c r="A7" s="249"/>
      <c r="B7" s="249"/>
      <c r="C7" s="249"/>
      <c r="D7" s="249"/>
      <c r="E7" s="249"/>
      <c r="F7" s="249"/>
      <c r="G7" s="249"/>
      <c r="H7" s="249"/>
      <c r="I7" s="249"/>
    </row>
    <row r="8" spans="1:9" x14ac:dyDescent="0.3">
      <c r="A8" s="250" t="s">
        <v>47</v>
      </c>
      <c r="B8" s="250"/>
      <c r="C8" s="250"/>
      <c r="D8" s="250"/>
      <c r="E8" s="250"/>
      <c r="F8" s="250"/>
      <c r="G8" s="250"/>
      <c r="H8" s="250"/>
      <c r="I8" s="250"/>
    </row>
    <row r="9" spans="1:9" x14ac:dyDescent="0.3">
      <c r="A9" s="250"/>
      <c r="B9" s="250"/>
      <c r="C9" s="250"/>
      <c r="D9" s="250"/>
      <c r="E9" s="250"/>
      <c r="F9" s="250"/>
      <c r="G9" s="250"/>
      <c r="H9" s="250"/>
      <c r="I9" s="250"/>
    </row>
    <row r="10" spans="1:9" x14ac:dyDescent="0.3">
      <c r="A10" s="250"/>
      <c r="B10" s="250"/>
      <c r="C10" s="250"/>
      <c r="D10" s="250"/>
      <c r="E10" s="250"/>
      <c r="F10" s="250"/>
      <c r="G10" s="250"/>
      <c r="H10" s="250"/>
      <c r="I10" s="250"/>
    </row>
    <row r="11" spans="1:9" x14ac:dyDescent="0.3">
      <c r="A11" s="250"/>
      <c r="B11" s="250"/>
      <c r="C11" s="250"/>
      <c r="D11" s="250"/>
      <c r="E11" s="250"/>
      <c r="F11" s="250"/>
      <c r="G11" s="250"/>
      <c r="H11" s="250"/>
      <c r="I11" s="250"/>
    </row>
    <row r="12" spans="1:9" x14ac:dyDescent="0.3">
      <c r="A12" s="250"/>
      <c r="B12" s="250"/>
      <c r="C12" s="250"/>
      <c r="D12" s="250"/>
      <c r="E12" s="250"/>
      <c r="F12" s="250"/>
      <c r="G12" s="250"/>
      <c r="H12" s="250"/>
      <c r="I12" s="250"/>
    </row>
    <row r="13" spans="1:9" x14ac:dyDescent="0.3">
      <c r="A13" s="250"/>
      <c r="B13" s="250"/>
      <c r="C13" s="250"/>
      <c r="D13" s="250"/>
      <c r="E13" s="250"/>
      <c r="F13" s="250"/>
      <c r="G13" s="250"/>
      <c r="H13" s="250"/>
      <c r="I13" s="250"/>
    </row>
    <row r="14" spans="1:9" x14ac:dyDescent="0.3">
      <c r="A14" s="250"/>
      <c r="B14" s="250"/>
      <c r="C14" s="250"/>
      <c r="D14" s="250"/>
      <c r="E14" s="250"/>
      <c r="F14" s="250"/>
      <c r="G14" s="250"/>
      <c r="H14" s="250"/>
      <c r="I14" s="250"/>
    </row>
    <row r="15" spans="1:9" ht="19.5" customHeight="1" x14ac:dyDescent="0.35">
      <c r="A15" s="52"/>
    </row>
    <row r="16" spans="1:9" ht="19.5" customHeight="1" x14ac:dyDescent="0.35">
      <c r="A16" s="281" t="s">
        <v>29</v>
      </c>
      <c r="B16" s="282"/>
      <c r="C16" s="282"/>
      <c r="D16" s="282"/>
      <c r="E16" s="282"/>
      <c r="F16" s="282"/>
      <c r="G16" s="282"/>
      <c r="H16" s="283"/>
    </row>
    <row r="17" spans="1:14" ht="20.25" customHeight="1" x14ac:dyDescent="0.3">
      <c r="A17" s="284" t="s">
        <v>48</v>
      </c>
      <c r="B17" s="284"/>
      <c r="C17" s="284"/>
      <c r="D17" s="284"/>
      <c r="E17" s="284"/>
      <c r="F17" s="284"/>
      <c r="G17" s="284"/>
      <c r="H17" s="284"/>
    </row>
    <row r="18" spans="1:14" ht="26.25" customHeight="1" x14ac:dyDescent="0.5">
      <c r="A18" s="54" t="s">
        <v>31</v>
      </c>
      <c r="B18" s="220" t="s">
        <v>132</v>
      </c>
      <c r="C18" s="220"/>
      <c r="D18" s="214"/>
      <c r="E18" s="55"/>
      <c r="F18" s="56"/>
      <c r="G18" s="56"/>
      <c r="H18" s="56"/>
    </row>
    <row r="19" spans="1:14" ht="26.25" customHeight="1" x14ac:dyDescent="0.5">
      <c r="A19" s="54" t="s">
        <v>32</v>
      </c>
      <c r="B19" s="57" t="s">
        <v>133</v>
      </c>
      <c r="C19" s="219">
        <v>29</v>
      </c>
      <c r="D19" s="56"/>
      <c r="E19" s="56"/>
      <c r="F19" s="56"/>
      <c r="G19" s="56"/>
      <c r="H19" s="56"/>
    </row>
    <row r="20" spans="1:14" ht="26.25" customHeight="1" x14ac:dyDescent="0.5">
      <c r="A20" s="54" t="s">
        <v>33</v>
      </c>
      <c r="B20" s="285" t="s">
        <v>8</v>
      </c>
      <c r="C20" s="285"/>
      <c r="D20" s="56"/>
      <c r="E20" s="56"/>
      <c r="F20" s="56"/>
      <c r="G20" s="56"/>
      <c r="H20" s="56"/>
    </row>
    <row r="21" spans="1:14" ht="26.25" customHeight="1" x14ac:dyDescent="0.5">
      <c r="A21" s="54" t="s">
        <v>34</v>
      </c>
      <c r="B21" s="285" t="s">
        <v>134</v>
      </c>
      <c r="C21" s="285"/>
      <c r="D21" s="285"/>
      <c r="E21" s="285"/>
      <c r="F21" s="285"/>
      <c r="G21" s="285"/>
      <c r="H21" s="285"/>
      <c r="I21" s="58"/>
    </row>
    <row r="22" spans="1:14" ht="26.25" customHeight="1" x14ac:dyDescent="0.5">
      <c r="A22" s="54" t="s">
        <v>35</v>
      </c>
      <c r="B22" s="59" t="s">
        <v>10</v>
      </c>
      <c r="C22" s="56"/>
      <c r="D22" s="56"/>
      <c r="E22" s="56"/>
      <c r="F22" s="56"/>
      <c r="G22" s="56"/>
      <c r="H22" s="56"/>
    </row>
    <row r="23" spans="1:14" ht="26.25" customHeight="1" x14ac:dyDescent="0.5">
      <c r="A23" s="54" t="s">
        <v>36</v>
      </c>
      <c r="B23" s="59">
        <v>42545.637233796297</v>
      </c>
      <c r="C23" s="56"/>
      <c r="D23" s="56"/>
      <c r="E23" s="56"/>
      <c r="F23" s="56"/>
      <c r="G23" s="56"/>
      <c r="H23" s="56"/>
    </row>
    <row r="24" spans="1:14" ht="18" x14ac:dyDescent="0.35">
      <c r="A24" s="54"/>
      <c r="B24" s="60"/>
    </row>
    <row r="25" spans="1:14" ht="18" x14ac:dyDescent="0.35">
      <c r="A25" s="61" t="s">
        <v>1</v>
      </c>
      <c r="B25" s="60"/>
    </row>
    <row r="26" spans="1:14" ht="26.25" customHeight="1" x14ac:dyDescent="0.45">
      <c r="A26" s="62" t="s">
        <v>4</v>
      </c>
      <c r="B26" s="280" t="s">
        <v>125</v>
      </c>
      <c r="C26" s="280"/>
    </row>
    <row r="27" spans="1:14" ht="26.25" customHeight="1" x14ac:dyDescent="0.5">
      <c r="A27" s="63" t="s">
        <v>49</v>
      </c>
      <c r="B27" s="278" t="s">
        <v>126</v>
      </c>
      <c r="C27" s="278"/>
    </row>
    <row r="28" spans="1:14" ht="27" customHeight="1" x14ac:dyDescent="0.45">
      <c r="A28" s="63" t="s">
        <v>5</v>
      </c>
      <c r="B28" s="64">
        <v>87.84</v>
      </c>
    </row>
    <row r="29" spans="1:14" s="14" customFormat="1" ht="27" customHeight="1" x14ac:dyDescent="0.5">
      <c r="A29" s="63" t="s">
        <v>50</v>
      </c>
      <c r="B29" s="65">
        <v>0</v>
      </c>
      <c r="C29" s="257" t="s">
        <v>51</v>
      </c>
      <c r="D29" s="258"/>
      <c r="E29" s="258"/>
      <c r="F29" s="258"/>
      <c r="G29" s="259"/>
      <c r="H29" s="176"/>
      <c r="I29" s="66"/>
      <c r="J29" s="66"/>
      <c r="K29" s="66"/>
      <c r="L29" s="66"/>
    </row>
    <row r="30" spans="1:14" s="14" customFormat="1" ht="19.5" customHeight="1" x14ac:dyDescent="0.35">
      <c r="A30" s="63" t="s">
        <v>52</v>
      </c>
      <c r="B30" s="67">
        <f>B28-B29</f>
        <v>87.84</v>
      </c>
      <c r="C30" s="68"/>
      <c r="D30" s="68"/>
      <c r="E30" s="68"/>
      <c r="F30" s="68"/>
      <c r="G30" s="69"/>
      <c r="H30" s="176"/>
      <c r="I30" s="66"/>
      <c r="J30" s="66"/>
      <c r="K30" s="66"/>
      <c r="L30" s="66"/>
    </row>
    <row r="31" spans="1:14" s="14" customFormat="1" ht="27" customHeight="1" x14ac:dyDescent="0.45">
      <c r="A31" s="63" t="s">
        <v>53</v>
      </c>
      <c r="B31" s="70">
        <v>1</v>
      </c>
      <c r="C31" s="260" t="s">
        <v>54</v>
      </c>
      <c r="D31" s="261"/>
      <c r="E31" s="261"/>
      <c r="F31" s="261"/>
      <c r="G31" s="261"/>
      <c r="H31" s="262"/>
      <c r="I31" s="66"/>
      <c r="J31" s="66"/>
      <c r="K31" s="66"/>
      <c r="L31" s="66"/>
    </row>
    <row r="32" spans="1:14" s="14" customFormat="1" ht="27" customHeight="1" x14ac:dyDescent="0.45">
      <c r="A32" s="63" t="s">
        <v>55</v>
      </c>
      <c r="B32" s="70">
        <v>1</v>
      </c>
      <c r="C32" s="260" t="s">
        <v>56</v>
      </c>
      <c r="D32" s="261"/>
      <c r="E32" s="261"/>
      <c r="F32" s="261"/>
      <c r="G32" s="261"/>
      <c r="H32" s="262"/>
      <c r="I32" s="66"/>
      <c r="J32" s="66"/>
      <c r="K32" s="66"/>
      <c r="L32" s="71"/>
      <c r="M32" s="71"/>
      <c r="N32" s="72"/>
    </row>
    <row r="33" spans="1:14" s="14" customFormat="1" ht="17.25" customHeight="1" x14ac:dyDescent="0.35">
      <c r="A33" s="63"/>
      <c r="B33" s="73"/>
      <c r="C33" s="74"/>
      <c r="D33" s="74"/>
      <c r="E33" s="74"/>
      <c r="F33" s="74"/>
      <c r="G33" s="74"/>
      <c r="H33" s="74"/>
      <c r="I33" s="66"/>
      <c r="J33" s="66"/>
      <c r="K33" s="66"/>
      <c r="L33" s="71"/>
      <c r="M33" s="71"/>
      <c r="N33" s="72"/>
    </row>
    <row r="34" spans="1:14" s="14" customFormat="1" ht="18" x14ac:dyDescent="0.35">
      <c r="A34" s="63" t="s">
        <v>57</v>
      </c>
      <c r="B34" s="75">
        <f>B31/B32</f>
        <v>1</v>
      </c>
      <c r="C34" s="53" t="s">
        <v>58</v>
      </c>
      <c r="D34" s="53"/>
      <c r="E34" s="53"/>
      <c r="F34" s="53"/>
      <c r="G34" s="53"/>
      <c r="H34" s="176"/>
      <c r="I34" s="66"/>
      <c r="J34" s="66"/>
      <c r="K34" s="66"/>
      <c r="L34" s="71"/>
      <c r="M34" s="71"/>
      <c r="N34" s="72"/>
    </row>
    <row r="35" spans="1:14" s="14" customFormat="1" ht="19.5" customHeight="1" x14ac:dyDescent="0.35">
      <c r="A35" s="63"/>
      <c r="B35" s="67"/>
      <c r="G35" s="53"/>
      <c r="H35" s="176"/>
      <c r="I35" s="66"/>
      <c r="J35" s="66"/>
      <c r="K35" s="66"/>
      <c r="L35" s="71"/>
      <c r="M35" s="71"/>
      <c r="N35" s="72"/>
    </row>
    <row r="36" spans="1:14" s="14" customFormat="1" ht="27" customHeight="1" x14ac:dyDescent="0.45">
      <c r="A36" s="76" t="s">
        <v>59</v>
      </c>
      <c r="B36" s="77">
        <v>25</v>
      </c>
      <c r="C36" s="53"/>
      <c r="D36" s="247" t="s">
        <v>60</v>
      </c>
      <c r="E36" s="279"/>
      <c r="F36" s="247" t="s">
        <v>61</v>
      </c>
      <c r="G36" s="248"/>
      <c r="H36" s="176"/>
      <c r="J36" s="66"/>
      <c r="K36" s="66"/>
      <c r="L36" s="71"/>
      <c r="M36" s="71"/>
      <c r="N36" s="72"/>
    </row>
    <row r="37" spans="1:14" s="14" customFormat="1" ht="27" customHeight="1" x14ac:dyDescent="0.45">
      <c r="A37" s="78" t="s">
        <v>62</v>
      </c>
      <c r="B37" s="79">
        <v>1</v>
      </c>
      <c r="C37" s="80" t="s">
        <v>63</v>
      </c>
      <c r="D37" s="81" t="s">
        <v>64</v>
      </c>
      <c r="E37" s="82" t="s">
        <v>65</v>
      </c>
      <c r="F37" s="81" t="s">
        <v>64</v>
      </c>
      <c r="G37" s="83" t="s">
        <v>65</v>
      </c>
      <c r="H37" s="176"/>
      <c r="I37" s="84" t="s">
        <v>66</v>
      </c>
      <c r="J37" s="66"/>
      <c r="K37" s="66"/>
      <c r="L37" s="71"/>
      <c r="M37" s="71"/>
      <c r="N37" s="72"/>
    </row>
    <row r="38" spans="1:14" s="14" customFormat="1" ht="26.25" customHeight="1" x14ac:dyDescent="0.45">
      <c r="A38" s="78" t="s">
        <v>67</v>
      </c>
      <c r="B38" s="79">
        <v>1</v>
      </c>
      <c r="C38" s="85">
        <v>1</v>
      </c>
      <c r="D38" s="86">
        <v>168072190</v>
      </c>
      <c r="E38" s="87">
        <f>IF(ISBLANK(D38),"-",$D$48/$D$45*D38)</f>
        <v>147229158.29222497</v>
      </c>
      <c r="F38" s="86">
        <v>142158139</v>
      </c>
      <c r="G38" s="88">
        <f>IF(ISBLANK(F38),"-",$D$48/$F$45*F38)</f>
        <v>152850009.38444248</v>
      </c>
      <c r="H38" s="176"/>
      <c r="I38" s="89"/>
      <c r="J38" s="66"/>
      <c r="K38" s="66"/>
      <c r="L38" s="71"/>
      <c r="M38" s="71"/>
      <c r="N38" s="72"/>
    </row>
    <row r="39" spans="1:14" s="14" customFormat="1" ht="26.25" customHeight="1" x14ac:dyDescent="0.45">
      <c r="A39" s="78" t="s">
        <v>68</v>
      </c>
      <c r="B39" s="79">
        <v>1</v>
      </c>
      <c r="C39" s="90">
        <v>2</v>
      </c>
      <c r="D39" s="91">
        <v>170598473</v>
      </c>
      <c r="E39" s="92">
        <f>IF(ISBLANK(D39),"-",$D$48/$D$45*D39)</f>
        <v>149442150.93364862</v>
      </c>
      <c r="F39" s="91">
        <v>140272334</v>
      </c>
      <c r="G39" s="93">
        <f>IF(ISBLANK(F39),"-",$D$48/$F$45*F39)</f>
        <v>150822370.91101518</v>
      </c>
      <c r="H39" s="176"/>
      <c r="I39" s="263">
        <f>ABS((F43/D43*D42)-F42)/D42</f>
        <v>1.4172554616079433E-2</v>
      </c>
      <c r="J39" s="66"/>
      <c r="K39" s="66"/>
      <c r="L39" s="71"/>
      <c r="M39" s="71"/>
      <c r="N39" s="72"/>
    </row>
    <row r="40" spans="1:14" ht="26.25" customHeight="1" x14ac:dyDescent="0.45">
      <c r="A40" s="78" t="s">
        <v>69</v>
      </c>
      <c r="B40" s="79">
        <v>1</v>
      </c>
      <c r="C40" s="90">
        <v>3</v>
      </c>
      <c r="D40" s="91">
        <v>170604110</v>
      </c>
      <c r="E40" s="92">
        <f>IF(ISBLANK(D40),"-",$D$48/$D$45*D40)</f>
        <v>149447088.87588221</v>
      </c>
      <c r="F40" s="91">
        <v>139699632</v>
      </c>
      <c r="G40" s="93">
        <f>IF(ISBLANK(F40),"-",$D$48/$F$45*F40)</f>
        <v>150206595.36210701</v>
      </c>
      <c r="I40" s="263"/>
      <c r="L40" s="71"/>
      <c r="M40" s="71"/>
      <c r="N40" s="94"/>
    </row>
    <row r="41" spans="1:14" ht="27" customHeight="1" x14ac:dyDescent="0.45">
      <c r="A41" s="78" t="s">
        <v>70</v>
      </c>
      <c r="B41" s="79">
        <v>1</v>
      </c>
      <c r="C41" s="95">
        <v>4</v>
      </c>
      <c r="D41" s="96"/>
      <c r="E41" s="97" t="str">
        <f>IF(ISBLANK(D41),"-",$D$48/$D$45*D41)</f>
        <v>-</v>
      </c>
      <c r="F41" s="96"/>
      <c r="G41" s="98" t="str">
        <f>IF(ISBLANK(F41),"-",$D$48/$F$45*F41)</f>
        <v>-</v>
      </c>
      <c r="I41" s="99"/>
      <c r="L41" s="71"/>
      <c r="M41" s="71"/>
      <c r="N41" s="94"/>
    </row>
    <row r="42" spans="1:14" ht="27" customHeight="1" x14ac:dyDescent="0.45">
      <c r="A42" s="78" t="s">
        <v>71</v>
      </c>
      <c r="B42" s="79">
        <v>1</v>
      </c>
      <c r="C42" s="100" t="s">
        <v>72</v>
      </c>
      <c r="D42" s="101">
        <f>AVERAGE(D38:D41)</f>
        <v>169758257.66666666</v>
      </c>
      <c r="E42" s="102">
        <f>AVERAGE(E38:E41)</f>
        <v>148706132.70058528</v>
      </c>
      <c r="F42" s="101">
        <f>AVERAGE(F38:F41)</f>
        <v>140710035</v>
      </c>
      <c r="G42" s="103">
        <f>AVERAGE(G38:G41)</f>
        <v>151292991.88585487</v>
      </c>
      <c r="H42" s="104"/>
    </row>
    <row r="43" spans="1:14" ht="26.25" customHeight="1" x14ac:dyDescent="0.45">
      <c r="A43" s="78" t="s">
        <v>73</v>
      </c>
      <c r="B43" s="79">
        <v>1</v>
      </c>
      <c r="C43" s="105" t="s">
        <v>74</v>
      </c>
      <c r="D43" s="106">
        <v>32.49</v>
      </c>
      <c r="E43" s="94"/>
      <c r="F43" s="106">
        <v>26.47</v>
      </c>
      <c r="H43" s="104"/>
    </row>
    <row r="44" spans="1:14" ht="26.25" customHeight="1" x14ac:dyDescent="0.45">
      <c r="A44" s="78" t="s">
        <v>75</v>
      </c>
      <c r="B44" s="79">
        <v>1</v>
      </c>
      <c r="C44" s="107" t="s">
        <v>76</v>
      </c>
      <c r="D44" s="108">
        <f>D43*$B$34</f>
        <v>32.49</v>
      </c>
      <c r="E44" s="109"/>
      <c r="F44" s="108">
        <f>F43*$B$34</f>
        <v>26.47</v>
      </c>
      <c r="H44" s="104"/>
    </row>
    <row r="45" spans="1:14" ht="19.5" customHeight="1" x14ac:dyDescent="0.35">
      <c r="A45" s="78" t="s">
        <v>77</v>
      </c>
      <c r="B45" s="110">
        <f>(B44/B43)*(B42/B41)*(B40/B39)*(B38/B37)*B36</f>
        <v>25</v>
      </c>
      <c r="C45" s="107" t="s">
        <v>78</v>
      </c>
      <c r="D45" s="111">
        <f>D44*$B$30/100</f>
        <v>28.539216</v>
      </c>
      <c r="E45" s="112"/>
      <c r="F45" s="111">
        <f>F44*$B$30/100</f>
        <v>23.251248</v>
      </c>
      <c r="H45" s="104"/>
    </row>
    <row r="46" spans="1:14" ht="19.5" customHeight="1" x14ac:dyDescent="0.35">
      <c r="A46" s="251" t="s">
        <v>79</v>
      </c>
      <c r="B46" s="252"/>
      <c r="C46" s="107" t="s">
        <v>80</v>
      </c>
      <c r="D46" s="113">
        <f>D45/$B$45</f>
        <v>1.14156864</v>
      </c>
      <c r="E46" s="114"/>
      <c r="F46" s="115">
        <f>F45/$B$45</f>
        <v>0.93004991999999997</v>
      </c>
      <c r="H46" s="104"/>
    </row>
    <row r="47" spans="1:14" ht="27" customHeight="1" x14ac:dyDescent="0.45">
      <c r="A47" s="253"/>
      <c r="B47" s="254"/>
      <c r="C47" s="116" t="s">
        <v>81</v>
      </c>
      <c r="D47" s="117">
        <v>1</v>
      </c>
      <c r="E47" s="118"/>
      <c r="F47" s="114"/>
      <c r="H47" s="104"/>
    </row>
    <row r="48" spans="1:14" ht="18" x14ac:dyDescent="0.35">
      <c r="C48" s="119" t="s">
        <v>82</v>
      </c>
      <c r="D48" s="111">
        <f>D47*$B$45</f>
        <v>25</v>
      </c>
      <c r="F48" s="120"/>
      <c r="H48" s="104"/>
    </row>
    <row r="49" spans="1:12" ht="19.5" customHeight="1" x14ac:dyDescent="0.35">
      <c r="C49" s="121" t="s">
        <v>83</v>
      </c>
      <c r="D49" s="122">
        <f>D48/B34</f>
        <v>25</v>
      </c>
      <c r="F49" s="120"/>
      <c r="H49" s="104"/>
    </row>
    <row r="50" spans="1:12" ht="18" x14ac:dyDescent="0.35">
      <c r="C50" s="76" t="s">
        <v>84</v>
      </c>
      <c r="D50" s="123">
        <f>AVERAGE(E38:E41,G38:G41)</f>
        <v>149999562.29322007</v>
      </c>
      <c r="F50" s="124"/>
      <c r="H50" s="104"/>
    </row>
    <row r="51" spans="1:12" ht="18" x14ac:dyDescent="0.35">
      <c r="C51" s="78" t="s">
        <v>85</v>
      </c>
      <c r="D51" s="125">
        <f>STDEV(E38:E41,G38:G41)/D50</f>
        <v>1.2341834176683166E-2</v>
      </c>
      <c r="F51" s="124"/>
      <c r="H51" s="104"/>
    </row>
    <row r="52" spans="1:12" ht="19.5" customHeight="1" x14ac:dyDescent="0.35">
      <c r="C52" s="126" t="s">
        <v>18</v>
      </c>
      <c r="D52" s="127">
        <f>COUNT(E38:E41,G38:G41)</f>
        <v>6</v>
      </c>
      <c r="F52" s="124"/>
    </row>
    <row r="54" spans="1:12" ht="18" x14ac:dyDescent="0.35">
      <c r="A54" s="128" t="s">
        <v>1</v>
      </c>
      <c r="B54" s="129" t="s">
        <v>86</v>
      </c>
    </row>
    <row r="55" spans="1:12" ht="18" x14ac:dyDescent="0.35">
      <c r="A55" s="53" t="s">
        <v>87</v>
      </c>
      <c r="B55" s="130" t="str">
        <f>B21</f>
        <v>Each capsule contains Amoxicillin (as Trihydrate) 500 mg.</v>
      </c>
    </row>
    <row r="56" spans="1:12" ht="26.25" customHeight="1" x14ac:dyDescent="0.45">
      <c r="A56" s="131" t="s">
        <v>88</v>
      </c>
      <c r="B56" s="132">
        <v>500</v>
      </c>
      <c r="C56" s="53" t="str">
        <f>B26</f>
        <v>AMOXICILLIN</v>
      </c>
      <c r="H56" s="133"/>
    </row>
    <row r="57" spans="1:12" ht="18" x14ac:dyDescent="0.35">
      <c r="A57" s="130" t="s">
        <v>89</v>
      </c>
      <c r="B57" s="215">
        <f>Uniformity!D43</f>
        <v>563.31699999999978</v>
      </c>
      <c r="H57" s="133"/>
      <c r="J57" s="176"/>
      <c r="K57" s="176"/>
    </row>
    <row r="58" spans="1:12" ht="19.5" customHeight="1" x14ac:dyDescent="0.35">
      <c r="H58" s="133"/>
      <c r="J58" s="176"/>
      <c r="K58" s="176"/>
    </row>
    <row r="59" spans="1:12" s="14" customFormat="1" ht="27" customHeight="1" x14ac:dyDescent="0.45">
      <c r="A59" s="76" t="s">
        <v>90</v>
      </c>
      <c r="B59" s="77">
        <v>250</v>
      </c>
      <c r="C59" s="53"/>
      <c r="D59" s="134" t="s">
        <v>91</v>
      </c>
      <c r="E59" s="135" t="s">
        <v>63</v>
      </c>
      <c r="F59" s="135" t="s">
        <v>64</v>
      </c>
      <c r="G59" s="135" t="s">
        <v>92</v>
      </c>
      <c r="H59" s="80" t="s">
        <v>93</v>
      </c>
      <c r="J59" s="176"/>
      <c r="K59" s="176"/>
      <c r="L59" s="66"/>
    </row>
    <row r="60" spans="1:12" s="14" customFormat="1" ht="26.25" customHeight="1" x14ac:dyDescent="0.45">
      <c r="A60" s="78" t="s">
        <v>94</v>
      </c>
      <c r="B60" s="79">
        <v>1</v>
      </c>
      <c r="C60" s="266" t="s">
        <v>95</v>
      </c>
      <c r="D60" s="269">
        <v>278.39</v>
      </c>
      <c r="E60" s="136">
        <v>1</v>
      </c>
      <c r="F60" s="137">
        <v>160294452</v>
      </c>
      <c r="G60" s="224">
        <f>IF(ISBLANK(F60),"-",(F60/$D$50*$D$47*$B$68)*($B$57/$D$60))</f>
        <v>540.58966023434323</v>
      </c>
      <c r="H60" s="138">
        <f t="shared" ref="H60:H71" si="0">IF(ISBLANK(F60),"-",G60/$B$56)</f>
        <v>1.0811793204686864</v>
      </c>
      <c r="J60" s="176"/>
      <c r="K60" s="176"/>
      <c r="L60" s="66"/>
    </row>
    <row r="61" spans="1:12" s="14" customFormat="1" ht="26.25" customHeight="1" x14ac:dyDescent="0.45">
      <c r="A61" s="78" t="s">
        <v>96</v>
      </c>
      <c r="B61" s="79">
        <v>1</v>
      </c>
      <c r="C61" s="267"/>
      <c r="D61" s="270"/>
      <c r="E61" s="139">
        <v>2</v>
      </c>
      <c r="F61" s="91">
        <v>157378796</v>
      </c>
      <c r="G61" s="225">
        <f>IF(ISBLANK(F61),"-",(F61/$D$50*$D$47*$B$68)*($B$57/$D$60))</f>
        <v>530.7566718387111</v>
      </c>
      <c r="H61" s="140">
        <f t="shared" si="0"/>
        <v>1.0615133436774222</v>
      </c>
      <c r="J61" s="176"/>
      <c r="K61" s="176"/>
      <c r="L61" s="66"/>
    </row>
    <row r="62" spans="1:12" s="14" customFormat="1" ht="26.25" customHeight="1" x14ac:dyDescent="0.45">
      <c r="A62" s="78" t="s">
        <v>97</v>
      </c>
      <c r="B62" s="79">
        <v>1</v>
      </c>
      <c r="C62" s="267"/>
      <c r="D62" s="270"/>
      <c r="E62" s="139">
        <v>3</v>
      </c>
      <c r="F62" s="141">
        <v>159869919</v>
      </c>
      <c r="G62" s="225">
        <f>IF(ISBLANK(F62),"-",(F62/$D$50*$D$47*$B$68)*($B$57/$D$60))</f>
        <v>539.15793164133959</v>
      </c>
      <c r="H62" s="140">
        <f t="shared" si="0"/>
        <v>1.0783158632826793</v>
      </c>
      <c r="J62" s="176"/>
      <c r="K62" s="176"/>
      <c r="L62" s="66"/>
    </row>
    <row r="63" spans="1:12" ht="27" customHeight="1" x14ac:dyDescent="0.45">
      <c r="A63" s="78" t="s">
        <v>98</v>
      </c>
      <c r="B63" s="79">
        <v>1</v>
      </c>
      <c r="C63" s="277"/>
      <c r="D63" s="271"/>
      <c r="E63" s="142">
        <v>4</v>
      </c>
      <c r="F63" s="143"/>
      <c r="G63" s="225" t="str">
        <f>IF(ISBLANK(F63),"-",(F63/$D$50*$D$47*$B$68)*($B$57/$D$60))</f>
        <v>-</v>
      </c>
      <c r="H63" s="140" t="str">
        <f t="shared" si="0"/>
        <v>-</v>
      </c>
      <c r="J63" s="176"/>
      <c r="K63" s="176"/>
    </row>
    <row r="64" spans="1:12" ht="26.25" customHeight="1" x14ac:dyDescent="0.45">
      <c r="A64" s="78" t="s">
        <v>99</v>
      </c>
      <c r="B64" s="79">
        <v>1</v>
      </c>
      <c r="C64" s="266" t="s">
        <v>100</v>
      </c>
      <c r="D64" s="269">
        <v>283.07</v>
      </c>
      <c r="E64" s="136">
        <v>1</v>
      </c>
      <c r="F64" s="137">
        <v>161012071</v>
      </c>
      <c r="G64" s="226">
        <f>IF(ISBLANK(F64),"-",(F64/$D$50*$D$47*$B$68)*($B$57/$D$64))</f>
        <v>534.032226830941</v>
      </c>
      <c r="H64" s="144">
        <f t="shared" si="0"/>
        <v>1.068064453661882</v>
      </c>
      <c r="J64" s="176"/>
      <c r="K64" s="176"/>
    </row>
    <row r="65" spans="1:8" ht="26.25" customHeight="1" x14ac:dyDescent="0.45">
      <c r="A65" s="78" t="s">
        <v>101</v>
      </c>
      <c r="B65" s="79">
        <v>1</v>
      </c>
      <c r="C65" s="267"/>
      <c r="D65" s="270"/>
      <c r="E65" s="139">
        <v>2</v>
      </c>
      <c r="F65" s="91">
        <v>160432379</v>
      </c>
      <c r="G65" s="227">
        <f>IF(ISBLANK(F65),"-",(F65/$D$50*$D$47*$B$68)*($B$57/$D$64))</f>
        <v>532.10954980608574</v>
      </c>
      <c r="H65" s="145">
        <f t="shared" si="0"/>
        <v>1.0642190996121714</v>
      </c>
    </row>
    <row r="66" spans="1:8" ht="26.25" customHeight="1" x14ac:dyDescent="0.45">
      <c r="A66" s="78" t="s">
        <v>102</v>
      </c>
      <c r="B66" s="79">
        <v>1</v>
      </c>
      <c r="C66" s="267"/>
      <c r="D66" s="270"/>
      <c r="E66" s="139">
        <v>3</v>
      </c>
      <c r="F66" s="91">
        <v>162480618</v>
      </c>
      <c r="G66" s="227">
        <f>IF(ISBLANK(F66),"-",(F66/$D$50*$D$47*$B$68)*($B$57/$D$64))</f>
        <v>538.90298850579654</v>
      </c>
      <c r="H66" s="145">
        <f t="shared" si="0"/>
        <v>1.0778059770115931</v>
      </c>
    </row>
    <row r="67" spans="1:8" ht="27" customHeight="1" x14ac:dyDescent="0.45">
      <c r="A67" s="78" t="s">
        <v>103</v>
      </c>
      <c r="B67" s="79">
        <v>1</v>
      </c>
      <c r="C67" s="277"/>
      <c r="D67" s="271"/>
      <c r="E67" s="142">
        <v>4</v>
      </c>
      <c r="F67" s="143"/>
      <c r="G67" s="228" t="str">
        <f>IF(ISBLANK(F67),"-",(F67/$D$50*$D$47*$B$68)*($B$57/$D$64))</f>
        <v>-</v>
      </c>
      <c r="H67" s="146" t="str">
        <f t="shared" si="0"/>
        <v>-</v>
      </c>
    </row>
    <row r="68" spans="1:8" ht="26.25" customHeight="1" x14ac:dyDescent="0.5">
      <c r="A68" s="78" t="s">
        <v>104</v>
      </c>
      <c r="B68" s="147">
        <f>(B67/B66)*(B65/B64)*(B63/B62)*(B61/B60)*B59</f>
        <v>250</v>
      </c>
      <c r="C68" s="266" t="s">
        <v>105</v>
      </c>
      <c r="D68" s="269">
        <v>282.72000000000003</v>
      </c>
      <c r="E68" s="136">
        <v>1</v>
      </c>
      <c r="F68" s="137">
        <v>161604219</v>
      </c>
      <c r="G68" s="226">
        <f>IF(ISBLANK(F68),"-",(F68/$D$50*$D$47*$B$68)*($B$57/$D$68))</f>
        <v>536.65976630413604</v>
      </c>
      <c r="H68" s="140">
        <f t="shared" si="0"/>
        <v>1.0733195326082721</v>
      </c>
    </row>
    <row r="69" spans="1:8" ht="27" customHeight="1" x14ac:dyDescent="0.5">
      <c r="A69" s="126" t="s">
        <v>106</v>
      </c>
      <c r="B69" s="148">
        <f>(D47*B68)/B56*B57</f>
        <v>281.65849999999989</v>
      </c>
      <c r="C69" s="267"/>
      <c r="D69" s="270"/>
      <c r="E69" s="139">
        <v>2</v>
      </c>
      <c r="F69" s="91">
        <v>159867453</v>
      </c>
      <c r="G69" s="227">
        <f>IF(ISBLANK(F69),"-",(F69/$D$50*$D$47*$B$68)*($B$57/$D$68))</f>
        <v>530.89226566923639</v>
      </c>
      <c r="H69" s="140">
        <f t="shared" si="0"/>
        <v>1.0617845313384728</v>
      </c>
    </row>
    <row r="70" spans="1:8" ht="26.25" customHeight="1" x14ac:dyDescent="0.45">
      <c r="A70" s="272" t="s">
        <v>79</v>
      </c>
      <c r="B70" s="273"/>
      <c r="C70" s="267"/>
      <c r="D70" s="270"/>
      <c r="E70" s="139">
        <v>3</v>
      </c>
      <c r="F70" s="91">
        <v>162885044</v>
      </c>
      <c r="G70" s="227">
        <f>IF(ISBLANK(F70),"-",(F70/$D$50*$D$47*$B$68)*($B$57/$D$68))</f>
        <v>540.91316543832875</v>
      </c>
      <c r="H70" s="140">
        <f t="shared" si="0"/>
        <v>1.0818263308766576</v>
      </c>
    </row>
    <row r="71" spans="1:8" ht="27" customHeight="1" x14ac:dyDescent="0.45">
      <c r="A71" s="274"/>
      <c r="B71" s="275"/>
      <c r="C71" s="268"/>
      <c r="D71" s="271"/>
      <c r="E71" s="142">
        <v>4</v>
      </c>
      <c r="F71" s="143"/>
      <c r="G71" s="228" t="str">
        <f>IF(ISBLANK(F71),"-",(F71/$D$50*$D$47*$B$68)*($B$57/$D$68))</f>
        <v>-</v>
      </c>
      <c r="H71" s="149" t="str">
        <f t="shared" si="0"/>
        <v>-</v>
      </c>
    </row>
    <row r="72" spans="1:8" ht="26.25" customHeight="1" x14ac:dyDescent="0.45">
      <c r="A72" s="150"/>
      <c r="B72" s="150"/>
      <c r="C72" s="150"/>
      <c r="D72" s="150"/>
      <c r="E72" s="150"/>
      <c r="F72" s="152" t="s">
        <v>72</v>
      </c>
      <c r="G72" s="217">
        <f>AVERAGE(G60:G71)</f>
        <v>536.00158069654651</v>
      </c>
      <c r="H72" s="153">
        <f>AVERAGE(H60:H71)</f>
        <v>1.0720031613930929</v>
      </c>
    </row>
    <row r="73" spans="1:8" ht="26.25" customHeight="1" x14ac:dyDescent="0.45">
      <c r="C73" s="150"/>
      <c r="D73" s="150"/>
      <c r="E73" s="150"/>
      <c r="F73" s="154" t="s">
        <v>85</v>
      </c>
      <c r="G73" s="216">
        <f>STDEV(G60:G71)/G72</f>
        <v>7.7100922765089997E-3</v>
      </c>
      <c r="H73" s="216">
        <f>STDEV(H60:H71)/H72</f>
        <v>7.7100922765090049E-3</v>
      </c>
    </row>
    <row r="74" spans="1:8" ht="27" customHeight="1" x14ac:dyDescent="0.45">
      <c r="A74" s="150"/>
      <c r="B74" s="150"/>
      <c r="C74" s="151"/>
      <c r="D74" s="151"/>
      <c r="E74" s="155"/>
      <c r="F74" s="156" t="s">
        <v>18</v>
      </c>
      <c r="G74" s="157">
        <f>COUNT(G60:G71)</f>
        <v>9</v>
      </c>
      <c r="H74" s="157">
        <f>COUNT(H60:H71)</f>
        <v>9</v>
      </c>
    </row>
    <row r="76" spans="1:8" ht="26.25" customHeight="1" x14ac:dyDescent="0.45">
      <c r="A76" s="62" t="s">
        <v>107</v>
      </c>
      <c r="B76" s="158" t="s">
        <v>108</v>
      </c>
      <c r="C76" s="255" t="str">
        <f>B26</f>
        <v>AMOXICILLIN</v>
      </c>
      <c r="D76" s="255"/>
      <c r="E76" s="159" t="s">
        <v>109</v>
      </c>
      <c r="F76" s="159"/>
      <c r="G76" s="160">
        <f>H72</f>
        <v>1.0720031613930929</v>
      </c>
      <c r="H76" s="161"/>
    </row>
    <row r="77" spans="1:8" ht="18" x14ac:dyDescent="0.35">
      <c r="A77" s="61" t="s">
        <v>110</v>
      </c>
      <c r="B77" s="61" t="s">
        <v>111</v>
      </c>
    </row>
    <row r="78" spans="1:8" ht="18" x14ac:dyDescent="0.35">
      <c r="A78" s="61"/>
      <c r="B78" s="61"/>
    </row>
    <row r="79" spans="1:8" ht="26.25" customHeight="1" x14ac:dyDescent="0.45">
      <c r="A79" s="62" t="s">
        <v>4</v>
      </c>
      <c r="B79" s="276" t="str">
        <f>B26</f>
        <v>AMOXICILLIN</v>
      </c>
      <c r="C79" s="276"/>
    </row>
    <row r="80" spans="1:8" ht="26.25" customHeight="1" x14ac:dyDescent="0.45">
      <c r="A80" s="63" t="s">
        <v>49</v>
      </c>
      <c r="B80" s="276" t="str">
        <f>B27</f>
        <v>A1-2</v>
      </c>
      <c r="C80" s="276"/>
    </row>
    <row r="81" spans="1:12" ht="27" customHeight="1" x14ac:dyDescent="0.45">
      <c r="A81" s="63" t="s">
        <v>5</v>
      </c>
      <c r="B81" s="162">
        <f>B28</f>
        <v>87.84</v>
      </c>
    </row>
    <row r="82" spans="1:12" s="14" customFormat="1" ht="27" customHeight="1" x14ac:dyDescent="0.5">
      <c r="A82" s="63" t="s">
        <v>50</v>
      </c>
      <c r="B82" s="65">
        <v>0</v>
      </c>
      <c r="C82" s="257" t="s">
        <v>51</v>
      </c>
      <c r="D82" s="258"/>
      <c r="E82" s="258"/>
      <c r="F82" s="258"/>
      <c r="G82" s="259"/>
      <c r="I82" s="66"/>
      <c r="J82" s="66"/>
      <c r="K82" s="66"/>
      <c r="L82" s="66"/>
    </row>
    <row r="83" spans="1:12" s="14" customFormat="1" ht="19.5" customHeight="1" x14ac:dyDescent="0.35">
      <c r="A83" s="63" t="s">
        <v>52</v>
      </c>
      <c r="B83" s="67">
        <f>B81-B82</f>
        <v>87.84</v>
      </c>
      <c r="C83" s="68"/>
      <c r="D83" s="68"/>
      <c r="E83" s="68"/>
      <c r="F83" s="68"/>
      <c r="G83" s="69"/>
      <c r="I83" s="66"/>
      <c r="J83" s="66"/>
      <c r="K83" s="66"/>
      <c r="L83" s="66"/>
    </row>
    <row r="84" spans="1:12" s="14" customFormat="1" ht="27" customHeight="1" x14ac:dyDescent="0.45">
      <c r="A84" s="63" t="s">
        <v>53</v>
      </c>
      <c r="B84" s="70">
        <v>1</v>
      </c>
      <c r="C84" s="260" t="s">
        <v>112</v>
      </c>
      <c r="D84" s="261"/>
      <c r="E84" s="261"/>
      <c r="F84" s="261"/>
      <c r="G84" s="261"/>
      <c r="H84" s="262"/>
      <c r="I84" s="66"/>
      <c r="J84" s="66"/>
      <c r="K84" s="66"/>
      <c r="L84" s="66"/>
    </row>
    <row r="85" spans="1:12" s="14" customFormat="1" ht="27" customHeight="1" x14ac:dyDescent="0.45">
      <c r="A85" s="63" t="s">
        <v>55</v>
      </c>
      <c r="B85" s="70">
        <v>1</v>
      </c>
      <c r="C85" s="260" t="s">
        <v>113</v>
      </c>
      <c r="D85" s="261"/>
      <c r="E85" s="261"/>
      <c r="F85" s="261"/>
      <c r="G85" s="261"/>
      <c r="H85" s="262"/>
      <c r="I85" s="66"/>
      <c r="J85" s="66"/>
      <c r="K85" s="66"/>
      <c r="L85" s="66"/>
    </row>
    <row r="86" spans="1:12" s="14" customFormat="1" ht="18" x14ac:dyDescent="0.35">
      <c r="A86" s="63"/>
      <c r="B86" s="73"/>
      <c r="C86" s="74"/>
      <c r="D86" s="74"/>
      <c r="E86" s="74"/>
      <c r="F86" s="74"/>
      <c r="G86" s="74"/>
      <c r="H86" s="74"/>
      <c r="I86" s="66"/>
      <c r="J86" s="66"/>
      <c r="K86" s="66"/>
      <c r="L86" s="66"/>
    </row>
    <row r="87" spans="1:12" s="14" customFormat="1" ht="18" x14ac:dyDescent="0.35">
      <c r="A87" s="63" t="s">
        <v>57</v>
      </c>
      <c r="B87" s="75">
        <f>B84/B85</f>
        <v>1</v>
      </c>
      <c r="C87" s="53" t="s">
        <v>58</v>
      </c>
      <c r="D87" s="53"/>
      <c r="E87" s="53"/>
      <c r="F87" s="53"/>
      <c r="G87" s="53"/>
      <c r="H87" s="176"/>
      <c r="I87" s="66"/>
      <c r="J87" s="66"/>
      <c r="K87" s="66"/>
      <c r="L87" s="66"/>
    </row>
    <row r="88" spans="1:12" ht="19.5" customHeight="1" thickBot="1" x14ac:dyDescent="0.4">
      <c r="A88" s="61"/>
      <c r="B88" s="61"/>
    </row>
    <row r="89" spans="1:12" ht="27" customHeight="1" thickBot="1" x14ac:dyDescent="0.5">
      <c r="A89" s="76" t="s">
        <v>59</v>
      </c>
      <c r="B89" s="77">
        <v>20</v>
      </c>
      <c r="D89" s="247" t="s">
        <v>60</v>
      </c>
      <c r="E89" s="248"/>
      <c r="F89" s="247" t="s">
        <v>61</v>
      </c>
      <c r="G89" s="248"/>
    </row>
    <row r="90" spans="1:12" ht="27" customHeight="1" thickBot="1" x14ac:dyDescent="0.5">
      <c r="A90" s="78" t="s">
        <v>62</v>
      </c>
      <c r="B90" s="79">
        <v>10</v>
      </c>
      <c r="C90" s="163" t="s">
        <v>131</v>
      </c>
      <c r="D90" s="81" t="s">
        <v>64</v>
      </c>
      <c r="E90" s="82" t="s">
        <v>65</v>
      </c>
      <c r="F90" s="81" t="s">
        <v>64</v>
      </c>
      <c r="G90" s="164" t="s">
        <v>65</v>
      </c>
      <c r="I90" s="84" t="s">
        <v>66</v>
      </c>
    </row>
    <row r="91" spans="1:12" ht="26.25" customHeight="1" x14ac:dyDescent="0.45">
      <c r="A91" s="78" t="s">
        <v>67</v>
      </c>
      <c r="B91" s="79">
        <v>50</v>
      </c>
      <c r="C91" s="165">
        <v>1</v>
      </c>
      <c r="D91" s="86">
        <v>0.72099999999999997</v>
      </c>
      <c r="E91" s="87">
        <f>IF(ISBLANK(D91),"-",$D$101/$D$98*D91)</f>
        <v>0.82549940126219279</v>
      </c>
      <c r="F91" s="86">
        <v>0.63700000000000001</v>
      </c>
      <c r="G91" s="88">
        <f>IF(ISBLANK(F91),"-",$D$101/$F$98*F91)</f>
        <v>0.82862807870843891</v>
      </c>
      <c r="I91" s="89"/>
    </row>
    <row r="92" spans="1:12" ht="26.25" customHeight="1" x14ac:dyDescent="0.45">
      <c r="A92" s="78" t="s">
        <v>68</v>
      </c>
      <c r="B92" s="79">
        <v>1</v>
      </c>
      <c r="C92" s="151">
        <v>2</v>
      </c>
      <c r="D92" s="91">
        <v>0.71799999999999997</v>
      </c>
      <c r="E92" s="92">
        <f>IF(ISBLANK(D92),"-",$D$101/$D$98*D92)</f>
        <v>0.822064590993418</v>
      </c>
      <c r="F92" s="91">
        <v>0.63700000000000001</v>
      </c>
      <c r="G92" s="93">
        <f>IF(ISBLANK(F92),"-",$D$101/$F$98*F92)</f>
        <v>0.82862807870843891</v>
      </c>
      <c r="I92" s="263">
        <f>ABS((F96/D96*D95)-F95)/D95</f>
        <v>5.8462558527991072E-3</v>
      </c>
    </row>
    <row r="93" spans="1:12" ht="26.25" customHeight="1" x14ac:dyDescent="0.45">
      <c r="A93" s="78" t="s">
        <v>69</v>
      </c>
      <c r="B93" s="79">
        <v>1</v>
      </c>
      <c r="C93" s="151">
        <v>3</v>
      </c>
      <c r="D93" s="91">
        <v>0.71899999999999997</v>
      </c>
      <c r="E93" s="92">
        <f>IF(ISBLANK(D93),"-",$D$101/$D$98*D93)</f>
        <v>0.82320952774967626</v>
      </c>
      <c r="F93" s="91">
        <v>0.63800000000000001</v>
      </c>
      <c r="G93" s="93">
        <f>IF(ISBLANK(F93),"-",$D$101/$F$98*F93)</f>
        <v>0.82992890771740035</v>
      </c>
      <c r="I93" s="263"/>
    </row>
    <row r="94" spans="1:12" ht="27" customHeight="1" x14ac:dyDescent="0.45">
      <c r="A94" s="78" t="s">
        <v>70</v>
      </c>
      <c r="B94" s="79">
        <v>1</v>
      </c>
      <c r="C94" s="166">
        <v>4</v>
      </c>
      <c r="D94" s="96"/>
      <c r="E94" s="97" t="str">
        <f>IF(ISBLANK(D94),"-",$D$101/$D$98*D94)</f>
        <v>-</v>
      </c>
      <c r="F94" s="167"/>
      <c r="G94" s="98" t="str">
        <f>IF(ISBLANK(F94),"-",$D$101/$F$98*F94)</f>
        <v>-</v>
      </c>
      <c r="I94" s="99"/>
    </row>
    <row r="95" spans="1:12" ht="27" customHeight="1" x14ac:dyDescent="0.45">
      <c r="A95" s="78" t="s">
        <v>71</v>
      </c>
      <c r="B95" s="79">
        <v>1</v>
      </c>
      <c r="C95" s="168" t="s">
        <v>72</v>
      </c>
      <c r="D95" s="229">
        <f>AVERAGE(D91:D94)</f>
        <v>0.71933333333333327</v>
      </c>
      <c r="E95" s="230">
        <f>AVERAGE(E91:E94)</f>
        <v>0.82359117333509568</v>
      </c>
      <c r="F95" s="231">
        <f>AVERAGE(F91:F94)</f>
        <v>0.63733333333333331</v>
      </c>
      <c r="G95" s="232">
        <f>AVERAGE(G91:G94)</f>
        <v>0.82906168837809269</v>
      </c>
    </row>
    <row r="96" spans="1:12" ht="26.25" customHeight="1" x14ac:dyDescent="0.45">
      <c r="A96" s="78" t="s">
        <v>73</v>
      </c>
      <c r="B96" s="64">
        <v>1</v>
      </c>
      <c r="C96" s="169" t="s">
        <v>114</v>
      </c>
      <c r="D96" s="170">
        <v>27.62</v>
      </c>
      <c r="E96" s="94"/>
      <c r="F96" s="106">
        <v>24.31</v>
      </c>
    </row>
    <row r="97" spans="1:10" ht="26.25" customHeight="1" x14ac:dyDescent="0.45">
      <c r="A97" s="78" t="s">
        <v>75</v>
      </c>
      <c r="B97" s="64">
        <v>1</v>
      </c>
      <c r="C97" s="171" t="s">
        <v>115</v>
      </c>
      <c r="D97" s="172">
        <f>D96*$B$87</f>
        <v>27.62</v>
      </c>
      <c r="E97" s="109"/>
      <c r="F97" s="108">
        <f>F96*$B$87</f>
        <v>24.31</v>
      </c>
    </row>
    <row r="98" spans="1:10" ht="19.5" customHeight="1" x14ac:dyDescent="0.35">
      <c r="A98" s="78" t="s">
        <v>77</v>
      </c>
      <c r="B98" s="173">
        <f>(B97/B96)*(B95/B94)*(B93/B92)*(B91/B90)*B89</f>
        <v>100</v>
      </c>
      <c r="C98" s="171" t="s">
        <v>116</v>
      </c>
      <c r="D98" s="174">
        <f>D97*$B$83/100</f>
        <v>24.261408000000003</v>
      </c>
      <c r="E98" s="112"/>
      <c r="F98" s="111">
        <f>F97*$B$83/100</f>
        <v>21.353903999999996</v>
      </c>
    </row>
    <row r="99" spans="1:10" ht="19.5" customHeight="1" x14ac:dyDescent="0.35">
      <c r="A99" s="251" t="s">
        <v>79</v>
      </c>
      <c r="B99" s="264"/>
      <c r="C99" s="171" t="s">
        <v>117</v>
      </c>
      <c r="D99" s="175">
        <f>D98/$B$98</f>
        <v>0.24261408000000004</v>
      </c>
      <c r="E99" s="112"/>
      <c r="F99" s="115">
        <f>F98/$B$98</f>
        <v>0.21353903999999996</v>
      </c>
      <c r="G99" s="176"/>
      <c r="H99" s="104"/>
    </row>
    <row r="100" spans="1:10" ht="19.5" customHeight="1" x14ac:dyDescent="0.35">
      <c r="A100" s="253"/>
      <c r="B100" s="265"/>
      <c r="C100" s="171" t="s">
        <v>81</v>
      </c>
      <c r="D100" s="177">
        <f>$B$56/$B$116</f>
        <v>0.27777777777777779</v>
      </c>
      <c r="F100" s="120"/>
      <c r="G100" s="178"/>
      <c r="H100" s="104"/>
    </row>
    <row r="101" spans="1:10" ht="18" x14ac:dyDescent="0.35">
      <c r="C101" s="171" t="s">
        <v>82</v>
      </c>
      <c r="D101" s="172">
        <f>D100*$B$98</f>
        <v>27.777777777777779</v>
      </c>
      <c r="F101" s="120"/>
      <c r="G101" s="176"/>
      <c r="H101" s="104"/>
    </row>
    <row r="102" spans="1:10" ht="19.5" customHeight="1" x14ac:dyDescent="0.35">
      <c r="C102" s="179" t="s">
        <v>83</v>
      </c>
      <c r="D102" s="180">
        <f>D101/B34</f>
        <v>27.777777777777779</v>
      </c>
      <c r="F102" s="124"/>
      <c r="G102" s="176"/>
      <c r="H102" s="104"/>
      <c r="J102" s="181"/>
    </row>
    <row r="103" spans="1:10" ht="18" x14ac:dyDescent="0.35">
      <c r="C103" s="182" t="s">
        <v>118</v>
      </c>
      <c r="D103" s="183">
        <f>AVERAGE(E91:E94,G91:G94)</f>
        <v>0.8263264308565943</v>
      </c>
      <c r="F103" s="124"/>
      <c r="G103" s="184"/>
      <c r="H103" s="104"/>
      <c r="J103" s="185"/>
    </row>
    <row r="104" spans="1:10" ht="18" x14ac:dyDescent="0.35">
      <c r="C104" s="154" t="s">
        <v>85</v>
      </c>
      <c r="D104" s="186">
        <f>STDEV(E91:E94,G91:G94)/D103</f>
        <v>3.9077744438466228E-3</v>
      </c>
      <c r="F104" s="124"/>
      <c r="G104" s="176"/>
      <c r="H104" s="104"/>
      <c r="J104" s="185"/>
    </row>
    <row r="105" spans="1:10" ht="19.5" customHeight="1" x14ac:dyDescent="0.35">
      <c r="C105" s="156" t="s">
        <v>18</v>
      </c>
      <c r="D105" s="187">
        <f>COUNT(E91:E94,G91:G94)</f>
        <v>6</v>
      </c>
      <c r="F105" s="124"/>
      <c r="G105" s="176"/>
      <c r="H105" s="104"/>
      <c r="J105" s="185"/>
    </row>
    <row r="106" spans="1:10" ht="19.5" customHeight="1" x14ac:dyDescent="0.35">
      <c r="A106" s="128"/>
      <c r="B106" s="128"/>
      <c r="C106" s="128"/>
      <c r="D106" s="128"/>
      <c r="E106" s="128"/>
    </row>
    <row r="107" spans="1:10" ht="26.25" customHeight="1" x14ac:dyDescent="0.45">
      <c r="A107" s="76" t="s">
        <v>119</v>
      </c>
      <c r="B107" s="77">
        <v>900</v>
      </c>
      <c r="C107" s="188" t="s">
        <v>38</v>
      </c>
      <c r="D107" s="189" t="s">
        <v>64</v>
      </c>
      <c r="E107" s="190" t="s">
        <v>120</v>
      </c>
      <c r="F107" s="191" t="s">
        <v>121</v>
      </c>
    </row>
    <row r="108" spans="1:10" ht="26.25" customHeight="1" x14ac:dyDescent="0.45">
      <c r="A108" s="78" t="s">
        <v>122</v>
      </c>
      <c r="B108" s="79">
        <v>10</v>
      </c>
      <c r="C108" s="192">
        <v>1</v>
      </c>
      <c r="D108" s="222">
        <v>0.745</v>
      </c>
      <c r="E108" s="233">
        <f t="shared" ref="E108:E113" si="1">IF(ISBLANK(D108),"-",D108/$D$103*$D$100*$B$116)</f>
        <v>450.79037301742312</v>
      </c>
      <c r="F108" s="193">
        <f t="shared" ref="F108:F113" si="2">IF(ISBLANK(D108), "-", E108/$B$56)</f>
        <v>0.90158074603484628</v>
      </c>
    </row>
    <row r="109" spans="1:10" ht="26.25" customHeight="1" x14ac:dyDescent="0.45">
      <c r="A109" s="78" t="s">
        <v>96</v>
      </c>
      <c r="B109" s="79">
        <v>20</v>
      </c>
      <c r="C109" s="192">
        <v>2</v>
      </c>
      <c r="D109" s="222">
        <v>0.71699999999999997</v>
      </c>
      <c r="E109" s="234">
        <f t="shared" si="1"/>
        <v>433.84791604495621</v>
      </c>
      <c r="F109" s="194">
        <f t="shared" si="2"/>
        <v>0.86769583208991241</v>
      </c>
    </row>
    <row r="110" spans="1:10" ht="26.25" customHeight="1" x14ac:dyDescent="0.45">
      <c r="A110" s="78" t="s">
        <v>97</v>
      </c>
      <c r="B110" s="79">
        <v>1</v>
      </c>
      <c r="C110" s="192">
        <v>3</v>
      </c>
      <c r="D110" s="222">
        <v>0.72799999999999998</v>
      </c>
      <c r="E110" s="234">
        <f t="shared" si="1"/>
        <v>440.5038812841396</v>
      </c>
      <c r="F110" s="194">
        <f t="shared" si="2"/>
        <v>0.88100776256827917</v>
      </c>
    </row>
    <row r="111" spans="1:10" ht="26.25" customHeight="1" x14ac:dyDescent="0.45">
      <c r="A111" s="78" t="s">
        <v>98</v>
      </c>
      <c r="B111" s="79">
        <v>1</v>
      </c>
      <c r="C111" s="192">
        <v>4</v>
      </c>
      <c r="D111" s="222">
        <v>0.73</v>
      </c>
      <c r="E111" s="234">
        <f t="shared" si="1"/>
        <v>441.71405678217297</v>
      </c>
      <c r="F111" s="194">
        <f t="shared" si="2"/>
        <v>0.88342811356434592</v>
      </c>
    </row>
    <row r="112" spans="1:10" ht="26.25" customHeight="1" x14ac:dyDescent="0.45">
      <c r="A112" s="78" t="s">
        <v>99</v>
      </c>
      <c r="B112" s="79">
        <v>1</v>
      </c>
      <c r="C112" s="192">
        <v>5</v>
      </c>
      <c r="D112" s="222">
        <v>0.74</v>
      </c>
      <c r="E112" s="234">
        <f t="shared" si="1"/>
        <v>447.76493427233976</v>
      </c>
      <c r="F112" s="194">
        <f t="shared" si="2"/>
        <v>0.89552986854467953</v>
      </c>
    </row>
    <row r="113" spans="1:10" ht="26.25" customHeight="1" x14ac:dyDescent="0.45">
      <c r="A113" s="78" t="s">
        <v>101</v>
      </c>
      <c r="B113" s="79">
        <v>1</v>
      </c>
      <c r="C113" s="195">
        <v>6</v>
      </c>
      <c r="D113" s="223">
        <v>0.72699999999999998</v>
      </c>
      <c r="E113" s="235">
        <f t="shared" si="1"/>
        <v>439.89879353512293</v>
      </c>
      <c r="F113" s="196">
        <f t="shared" si="2"/>
        <v>0.87979758707024591</v>
      </c>
    </row>
    <row r="114" spans="1:10" ht="26.25" customHeight="1" x14ac:dyDescent="0.45">
      <c r="A114" s="78" t="s">
        <v>102</v>
      </c>
      <c r="B114" s="79">
        <v>1</v>
      </c>
      <c r="C114" s="192"/>
      <c r="D114" s="151"/>
      <c r="E114" s="52"/>
      <c r="F114" s="197"/>
    </row>
    <row r="115" spans="1:10" ht="26.25" customHeight="1" x14ac:dyDescent="0.45">
      <c r="A115" s="78" t="s">
        <v>103</v>
      </c>
      <c r="B115" s="79">
        <v>1</v>
      </c>
      <c r="C115" s="192"/>
      <c r="D115" s="198" t="s">
        <v>72</v>
      </c>
      <c r="E115" s="218">
        <f>AVERAGE(E108:E113)</f>
        <v>442.41999248935912</v>
      </c>
      <c r="F115" s="199">
        <f>AVERAGE(F108:F113)</f>
        <v>0.88483998497871807</v>
      </c>
    </row>
    <row r="116" spans="1:10" ht="27" customHeight="1" x14ac:dyDescent="0.45">
      <c r="A116" s="78" t="s">
        <v>104</v>
      </c>
      <c r="B116" s="110">
        <f>(B115/B114)*(B113/B112)*(B111/B110)*(B109/B108)*B107</f>
        <v>1800</v>
      </c>
      <c r="C116" s="200"/>
      <c r="D116" s="168" t="s">
        <v>85</v>
      </c>
      <c r="E116" s="201">
        <f>STDEV(E108:E113)/E115</f>
        <v>1.3660806728734508E-2</v>
      </c>
      <c r="F116" s="201">
        <f>STDEV(F108:F113)/F115</f>
        <v>1.3660806728734525E-2</v>
      </c>
      <c r="I116" s="52"/>
    </row>
    <row r="117" spans="1:10" ht="27" customHeight="1" x14ac:dyDescent="0.45">
      <c r="A117" s="251" t="s">
        <v>79</v>
      </c>
      <c r="B117" s="252"/>
      <c r="C117" s="202"/>
      <c r="D117" s="203" t="s">
        <v>18</v>
      </c>
      <c r="E117" s="204">
        <f>COUNT(E108:E113)</f>
        <v>6</v>
      </c>
      <c r="F117" s="204">
        <f>COUNT(F108:F113)</f>
        <v>6</v>
      </c>
      <c r="I117" s="52"/>
      <c r="J117" s="185"/>
    </row>
    <row r="118" spans="1:10" ht="19.5" customHeight="1" x14ac:dyDescent="0.35">
      <c r="A118" s="253"/>
      <c r="B118" s="254"/>
      <c r="C118" s="52"/>
      <c r="D118" s="52"/>
      <c r="E118" s="52"/>
      <c r="F118" s="151"/>
      <c r="G118" s="52"/>
      <c r="H118" s="52"/>
      <c r="I118" s="52"/>
    </row>
    <row r="119" spans="1:10" ht="18" x14ac:dyDescent="0.35">
      <c r="A119" s="213"/>
      <c r="B119" s="74"/>
      <c r="C119" s="52"/>
      <c r="D119" s="52"/>
      <c r="E119" s="52"/>
      <c r="F119" s="151"/>
      <c r="G119" s="52"/>
      <c r="H119" s="52"/>
      <c r="I119" s="52"/>
    </row>
    <row r="120" spans="1:10" ht="26.25" customHeight="1" x14ac:dyDescent="0.45">
      <c r="A120" s="62" t="s">
        <v>107</v>
      </c>
      <c r="B120" s="158" t="s">
        <v>123</v>
      </c>
      <c r="C120" s="255" t="str">
        <f>B79</f>
        <v>AMOXICILLIN</v>
      </c>
      <c r="D120" s="255"/>
      <c r="E120" s="159" t="s">
        <v>124</v>
      </c>
      <c r="F120" s="159"/>
      <c r="G120" s="160">
        <f>F115</f>
        <v>0.88483998497871807</v>
      </c>
      <c r="H120" s="52"/>
      <c r="I120" s="52"/>
    </row>
    <row r="121" spans="1:10" ht="19.5" customHeight="1" x14ac:dyDescent="0.35">
      <c r="A121" s="205"/>
      <c r="B121" s="205"/>
      <c r="C121" s="206"/>
      <c r="D121" s="206"/>
      <c r="E121" s="206"/>
      <c r="F121" s="206"/>
      <c r="G121" s="206"/>
      <c r="H121" s="206"/>
    </row>
    <row r="122" spans="1:10" ht="18" x14ac:dyDescent="0.35">
      <c r="B122" s="256" t="s">
        <v>24</v>
      </c>
      <c r="C122" s="256"/>
      <c r="E122" s="163" t="s">
        <v>25</v>
      </c>
      <c r="F122" s="207"/>
      <c r="G122" s="256" t="s">
        <v>26</v>
      </c>
      <c r="H122" s="256"/>
    </row>
    <row r="123" spans="1:10" ht="69.900000000000006" customHeight="1" x14ac:dyDescent="0.35">
      <c r="A123" s="208" t="s">
        <v>27</v>
      </c>
      <c r="B123" s="209"/>
      <c r="C123" s="209"/>
      <c r="E123" s="209"/>
      <c r="F123" s="52"/>
      <c r="G123" s="210"/>
      <c r="H123" s="210"/>
    </row>
    <row r="124" spans="1:10" ht="69.900000000000006" customHeight="1" x14ac:dyDescent="0.35">
      <c r="A124" s="208" t="s">
        <v>28</v>
      </c>
      <c r="B124" s="211"/>
      <c r="C124" s="211"/>
      <c r="E124" s="211"/>
      <c r="F124" s="52"/>
      <c r="G124" s="212"/>
      <c r="H124" s="212"/>
    </row>
    <row r="125" spans="1:10" ht="18" x14ac:dyDescent="0.35">
      <c r="A125" s="150"/>
      <c r="B125" s="150"/>
      <c r="C125" s="151"/>
      <c r="D125" s="151"/>
      <c r="E125" s="151"/>
      <c r="F125" s="155"/>
      <c r="G125" s="151"/>
      <c r="H125" s="151"/>
      <c r="I125" s="52"/>
    </row>
    <row r="126" spans="1:10" ht="18" x14ac:dyDescent="0.35">
      <c r="A126" s="150"/>
      <c r="B126" s="150"/>
      <c r="C126" s="151"/>
      <c r="D126" s="151"/>
      <c r="E126" s="151"/>
      <c r="F126" s="155"/>
      <c r="G126" s="151"/>
      <c r="H126" s="151"/>
      <c r="I126" s="52"/>
    </row>
    <row r="127" spans="1:10" ht="18" x14ac:dyDescent="0.35">
      <c r="A127" s="150"/>
      <c r="B127" s="150"/>
      <c r="C127" s="151"/>
      <c r="D127" s="151"/>
      <c r="E127" s="151"/>
      <c r="F127" s="155"/>
      <c r="G127" s="151"/>
      <c r="H127" s="151"/>
      <c r="I127" s="52"/>
    </row>
    <row r="128" spans="1:10" ht="18" x14ac:dyDescent="0.35">
      <c r="A128" s="150"/>
      <c r="B128" s="150"/>
      <c r="C128" s="151"/>
      <c r="D128" s="151"/>
      <c r="E128" s="151"/>
      <c r="F128" s="155"/>
      <c r="G128" s="151"/>
      <c r="H128" s="151"/>
      <c r="I128" s="52"/>
    </row>
    <row r="129" spans="1:9" ht="18" x14ac:dyDescent="0.35">
      <c r="A129" s="150"/>
      <c r="B129" s="150"/>
      <c r="C129" s="151"/>
      <c r="D129" s="151"/>
      <c r="E129" s="151"/>
      <c r="F129" s="155"/>
      <c r="G129" s="151"/>
      <c r="H129" s="151"/>
      <c r="I129" s="52"/>
    </row>
    <row r="130" spans="1:9" ht="18" x14ac:dyDescent="0.35">
      <c r="A130" s="150"/>
      <c r="B130" s="150"/>
      <c r="C130" s="151"/>
      <c r="D130" s="151"/>
      <c r="E130" s="151"/>
      <c r="F130" s="155"/>
      <c r="G130" s="151"/>
      <c r="H130" s="151"/>
      <c r="I130" s="52"/>
    </row>
    <row r="131" spans="1:9" ht="18" x14ac:dyDescent="0.35">
      <c r="A131" s="150"/>
      <c r="B131" s="150"/>
      <c r="C131" s="151"/>
      <c r="D131" s="151"/>
      <c r="E131" s="151"/>
      <c r="F131" s="155"/>
      <c r="G131" s="151"/>
      <c r="H131" s="151"/>
      <c r="I131" s="52"/>
    </row>
    <row r="132" spans="1:9" ht="18" x14ac:dyDescent="0.35">
      <c r="A132" s="150"/>
      <c r="B132" s="150"/>
      <c r="C132" s="151"/>
      <c r="D132" s="151"/>
      <c r="E132" s="151"/>
      <c r="F132" s="155"/>
      <c r="G132" s="151"/>
      <c r="H132" s="151"/>
      <c r="I132" s="52"/>
    </row>
    <row r="133" spans="1:9" ht="18" x14ac:dyDescent="0.35">
      <c r="A133" s="150"/>
      <c r="B133" s="150"/>
      <c r="C133" s="151"/>
      <c r="D133" s="151"/>
      <c r="E133" s="151"/>
      <c r="F133" s="155"/>
      <c r="G133" s="151"/>
      <c r="H133" s="151"/>
      <c r="I133" s="52"/>
    </row>
    <row r="250" spans="1:1" x14ac:dyDescent="0.3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B26:C26"/>
    <mergeCell ref="A16:H16"/>
    <mergeCell ref="A17:H17"/>
    <mergeCell ref="B20:C20"/>
    <mergeCell ref="B21:H21"/>
    <mergeCell ref="C64:C67"/>
    <mergeCell ref="D64:D67"/>
    <mergeCell ref="B27:C27"/>
    <mergeCell ref="C29:G29"/>
    <mergeCell ref="C31:H31"/>
    <mergeCell ref="C32:H32"/>
    <mergeCell ref="D36:E36"/>
    <mergeCell ref="F36:G36"/>
    <mergeCell ref="B122:C122"/>
    <mergeCell ref="G122:H122"/>
    <mergeCell ref="C82:G82"/>
    <mergeCell ref="C84:H84"/>
    <mergeCell ref="C85:H85"/>
    <mergeCell ref="F89:G89"/>
    <mergeCell ref="A99:B100"/>
    <mergeCell ref="D89:E89"/>
    <mergeCell ref="A1:I7"/>
    <mergeCell ref="A8:I14"/>
    <mergeCell ref="A117:B118"/>
    <mergeCell ref="C120:D120"/>
    <mergeCell ref="I92:I93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</mergeCells>
  <conditionalFormatting sqref="E51">
    <cfRule type="cellIs" dxfId="28" priority="1" operator="greaterThan">
      <formula>0.02</formula>
    </cfRule>
  </conditionalFormatting>
  <conditionalFormatting sqref="D51">
    <cfRule type="cellIs" dxfId="27" priority="2" operator="greaterThan">
      <formula>0.02</formula>
    </cfRule>
  </conditionalFormatting>
  <conditionalFormatting sqref="G73">
    <cfRule type="cellIs" dxfId="26" priority="3" operator="greaterThan">
      <formula>0.02</formula>
    </cfRule>
  </conditionalFormatting>
  <conditionalFormatting sqref="H73">
    <cfRule type="cellIs" dxfId="25" priority="4" operator="greaterThan">
      <formula>0.02</formula>
    </cfRule>
  </conditionalFormatting>
  <conditionalFormatting sqref="D104">
    <cfRule type="cellIs" dxfId="24" priority="5" operator="greaterThan">
      <formula>0.02</formula>
    </cfRule>
  </conditionalFormatting>
  <conditionalFormatting sqref="I39">
    <cfRule type="cellIs" dxfId="23" priority="6" operator="lessThanOrEqual">
      <formula>0.02</formula>
    </cfRule>
  </conditionalFormatting>
  <conditionalFormatting sqref="I39">
    <cfRule type="cellIs" dxfId="22" priority="7" operator="greaterThan">
      <formula>0.02</formula>
    </cfRule>
  </conditionalFormatting>
  <conditionalFormatting sqref="I92">
    <cfRule type="cellIs" dxfId="21" priority="8" operator="lessThanOrEqual">
      <formula>0.02</formula>
    </cfRule>
  </conditionalFormatting>
  <conditionalFormatting sqref="I92">
    <cfRule type="cellIs" dxfId="20" priority="9" operator="greaterThan">
      <formula>0.02</formula>
    </cfRule>
  </conditionalFormatting>
  <printOptions horizontalCentered="1"/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AMOXICILLIN</vt:lpstr>
      <vt:lpstr>AMOXICILLIN!Print_Area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Nicholas Njuguna</cp:lastModifiedBy>
  <cp:lastPrinted>2016-08-09T13:17:45Z</cp:lastPrinted>
  <dcterms:created xsi:type="dcterms:W3CDTF">2005-07-05T10:19:27Z</dcterms:created>
  <dcterms:modified xsi:type="dcterms:W3CDTF">2016-08-09T13:19:39Z</dcterms:modified>
</cp:coreProperties>
</file>