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3"/>
  </bookViews>
  <sheets>
    <sheet name="Uniformity" sheetId="2" r:id="rId1"/>
    <sheet name="SST" sheetId="5" r:id="rId2"/>
    <sheet name="amoxicillin Trihydrate" sheetId="3" r:id="rId3"/>
    <sheet name="Clavulanic acid" sheetId="4" r:id="rId4"/>
  </sheets>
  <definedNames>
    <definedName name="_xlnm.Print_Area" localSheetId="0">Uniformity!$A$1:$I$54</definedName>
  </definedNames>
  <calcPr calcId="145621"/>
</workbook>
</file>

<file path=xl/calcChain.xml><?xml version="1.0" encoding="utf-8"?>
<calcChain xmlns="http://schemas.openxmlformats.org/spreadsheetml/2006/main">
  <c r="F30" i="5" l="1"/>
  <c r="B54" i="5" l="1"/>
  <c r="E52" i="5"/>
  <c r="D52" i="5"/>
  <c r="C52" i="5"/>
  <c r="B52" i="5"/>
  <c r="B53" i="5" s="1"/>
  <c r="B32" i="5"/>
  <c r="E30" i="5"/>
  <c r="D30" i="5"/>
  <c r="C30" i="5"/>
  <c r="B30" i="5"/>
  <c r="B31" i="5" s="1"/>
  <c r="C120" i="4" l="1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D49" i="3" s="1"/>
  <c r="F42" i="3"/>
  <c r="D42" i="3"/>
  <c r="I39" i="3"/>
  <c r="B34" i="3"/>
  <c r="D44" i="3" s="1"/>
  <c r="B30" i="3"/>
  <c r="C46" i="2"/>
  <c r="D50" i="2" s="1"/>
  <c r="C45" i="2"/>
  <c r="D43" i="2"/>
  <c r="D39" i="2"/>
  <c r="D35" i="2"/>
  <c r="D31" i="2"/>
  <c r="D29" i="2"/>
  <c r="D27" i="2"/>
  <c r="D25" i="2"/>
  <c r="C19" i="2"/>
  <c r="D101" i="4" l="1"/>
  <c r="D102" i="4" s="1"/>
  <c r="D97" i="4"/>
  <c r="D98" i="4" s="1"/>
  <c r="E94" i="4" s="1"/>
  <c r="I92" i="3"/>
  <c r="D101" i="3"/>
  <c r="D102" i="3" s="1"/>
  <c r="D97" i="3"/>
  <c r="D45" i="4"/>
  <c r="I39" i="4"/>
  <c r="F44" i="3"/>
  <c r="F45" i="3" s="1"/>
  <c r="G41" i="3" s="1"/>
  <c r="D45" i="3"/>
  <c r="E39" i="3" s="1"/>
  <c r="F44" i="4"/>
  <c r="F45" i="4" s="1"/>
  <c r="G41" i="4" s="1"/>
  <c r="D49" i="4"/>
  <c r="E38" i="4"/>
  <c r="D46" i="4"/>
  <c r="F46" i="4"/>
  <c r="B69" i="3"/>
  <c r="D98" i="3"/>
  <c r="F98" i="3"/>
  <c r="F98" i="4"/>
  <c r="C49" i="2"/>
  <c r="E94" i="3"/>
  <c r="E39" i="4"/>
  <c r="D24" i="2"/>
  <c r="D28" i="2"/>
  <c r="D32" i="2"/>
  <c r="D36" i="2"/>
  <c r="D40" i="2"/>
  <c r="D49" i="2"/>
  <c r="B57" i="3"/>
  <c r="E41" i="4"/>
  <c r="B57" i="4"/>
  <c r="B69" i="4" s="1"/>
  <c r="D33" i="2"/>
  <c r="D37" i="2"/>
  <c r="D41" i="2"/>
  <c r="C50" i="2"/>
  <c r="D26" i="2"/>
  <c r="D30" i="2"/>
  <c r="D34" i="2"/>
  <c r="D38" i="2"/>
  <c r="D42" i="2"/>
  <c r="B49" i="2"/>
  <c r="E40" i="4"/>
  <c r="G92" i="4" l="1"/>
  <c r="E92" i="3"/>
  <c r="E91" i="3"/>
  <c r="G39" i="4"/>
  <c r="G38" i="4"/>
  <c r="E91" i="4"/>
  <c r="G40" i="4"/>
  <c r="E40" i="3"/>
  <c r="E38" i="3"/>
  <c r="G39" i="3"/>
  <c r="G40" i="3"/>
  <c r="F46" i="3"/>
  <c r="D46" i="3"/>
  <c r="G38" i="3"/>
  <c r="E41" i="3"/>
  <c r="G93" i="4"/>
  <c r="G94" i="4"/>
  <c r="G91" i="3"/>
  <c r="F99" i="3"/>
  <c r="E42" i="4"/>
  <c r="G94" i="3"/>
  <c r="G92" i="3"/>
  <c r="D99" i="4"/>
  <c r="E93" i="4"/>
  <c r="G93" i="3"/>
  <c r="E92" i="4"/>
  <c r="G91" i="4"/>
  <c r="F99" i="4"/>
  <c r="D99" i="3"/>
  <c r="E93" i="3"/>
  <c r="D103" i="4" l="1"/>
  <c r="E108" i="4" s="1"/>
  <c r="D105" i="3"/>
  <c r="D52" i="4"/>
  <c r="G42" i="4"/>
  <c r="D50" i="4"/>
  <c r="G68" i="4" s="1"/>
  <c r="H68" i="4" s="1"/>
  <c r="E42" i="3"/>
  <c r="G42" i="3"/>
  <c r="D103" i="3"/>
  <c r="E108" i="3" s="1"/>
  <c r="E95" i="3"/>
  <c r="D50" i="3"/>
  <c r="G68" i="3" s="1"/>
  <c r="H68" i="3" s="1"/>
  <c r="D52" i="3"/>
  <c r="G95" i="3"/>
  <c r="G95" i="4"/>
  <c r="D105" i="4"/>
  <c r="E95" i="4"/>
  <c r="E112" i="3"/>
  <c r="F112" i="3" s="1"/>
  <c r="E112" i="4"/>
  <c r="F112" i="4" s="1"/>
  <c r="G66" i="3"/>
  <c r="H66" i="3" s="1"/>
  <c r="E111" i="4" l="1"/>
  <c r="F111" i="4" s="1"/>
  <c r="E110" i="4"/>
  <c r="F110" i="4" s="1"/>
  <c r="D104" i="4"/>
  <c r="E109" i="4"/>
  <c r="F109" i="4" s="1"/>
  <c r="E113" i="4"/>
  <c r="F113" i="4" s="1"/>
  <c r="D51" i="4"/>
  <c r="G69" i="4"/>
  <c r="H69" i="4" s="1"/>
  <c r="G60" i="4"/>
  <c r="H60" i="4" s="1"/>
  <c r="G67" i="4"/>
  <c r="H67" i="4" s="1"/>
  <c r="G63" i="4"/>
  <c r="H63" i="4" s="1"/>
  <c r="G62" i="4"/>
  <c r="H62" i="4" s="1"/>
  <c r="G71" i="4"/>
  <c r="H71" i="4" s="1"/>
  <c r="G65" i="4"/>
  <c r="H65" i="4" s="1"/>
  <c r="G64" i="4"/>
  <c r="H64" i="4" s="1"/>
  <c r="G61" i="4"/>
  <c r="H61" i="4" s="1"/>
  <c r="G70" i="4"/>
  <c r="H70" i="4" s="1"/>
  <c r="G66" i="4"/>
  <c r="H66" i="4" s="1"/>
  <c r="E109" i="3"/>
  <c r="F109" i="3" s="1"/>
  <c r="E111" i="3"/>
  <c r="F111" i="3" s="1"/>
  <c r="E110" i="3"/>
  <c r="F110" i="3" s="1"/>
  <c r="G63" i="3"/>
  <c r="H63" i="3" s="1"/>
  <c r="D51" i="3"/>
  <c r="G62" i="3"/>
  <c r="H62" i="3" s="1"/>
  <c r="G65" i="3"/>
  <c r="H65" i="3" s="1"/>
  <c r="G64" i="3"/>
  <c r="H64" i="3" s="1"/>
  <c r="G67" i="3"/>
  <c r="H67" i="3" s="1"/>
  <c r="G71" i="3"/>
  <c r="H71" i="3" s="1"/>
  <c r="G69" i="3"/>
  <c r="H69" i="3" s="1"/>
  <c r="G61" i="3"/>
  <c r="H61" i="3" s="1"/>
  <c r="G70" i="3"/>
  <c r="H70" i="3" s="1"/>
  <c r="G60" i="3"/>
  <c r="H60" i="3" s="1"/>
  <c r="E113" i="3"/>
  <c r="F113" i="3" s="1"/>
  <c r="D104" i="3"/>
  <c r="F108" i="3"/>
  <c r="F108" i="4"/>
  <c r="E117" i="4" l="1"/>
  <c r="E115" i="4"/>
  <c r="E116" i="4" s="1"/>
  <c r="G72" i="4"/>
  <c r="G73" i="4" s="1"/>
  <c r="G74" i="4"/>
  <c r="E115" i="3"/>
  <c r="E116" i="3" s="1"/>
  <c r="G74" i="3"/>
  <c r="G72" i="3"/>
  <c r="G73" i="3" s="1"/>
  <c r="E117" i="3"/>
  <c r="F117" i="3"/>
  <c r="F115" i="3"/>
  <c r="H74" i="4"/>
  <c r="H72" i="4"/>
  <c r="F117" i="4"/>
  <c r="F115" i="4"/>
  <c r="H74" i="3"/>
  <c r="H72" i="3"/>
  <c r="G120" i="3" l="1"/>
  <c r="F116" i="3"/>
  <c r="G76" i="3"/>
  <c r="H73" i="3"/>
  <c r="G76" i="4"/>
  <c r="H73" i="4"/>
  <c r="G120" i="4"/>
  <c r="F116" i="4"/>
</calcChain>
</file>

<file path=xl/sharedStrings.xml><?xml version="1.0" encoding="utf-8"?>
<sst xmlns="http://schemas.openxmlformats.org/spreadsheetml/2006/main" count="396" uniqueCount="132">
  <si>
    <t>HPLC System Suitability Report</t>
  </si>
  <si>
    <t>Analysis Data</t>
  </si>
  <si>
    <t>Sample(s)</t>
  </si>
  <si>
    <t>Reference Substance:</t>
  </si>
  <si>
    <t>MYDAWA CO-AMOXICLAV 625 TABLETS</t>
  </si>
  <si>
    <t>% age Purity:</t>
  </si>
  <si>
    <t>NDQD2016061222</t>
  </si>
  <si>
    <t>Weight (mg):</t>
  </si>
  <si>
    <t>Amoxicillin Trihydrate &amp; Clavulanate Potassium</t>
  </si>
  <si>
    <t>Standard Conc (mg/mL):</t>
  </si>
  <si>
    <t>Each tablet contains Amoxicillin Trihydrate 600 mg Clavulanate Potassium 125 mg</t>
  </si>
  <si>
    <t>2016-06-23 15:36:21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</si>
  <si>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</si>
  <si>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</si>
  <si>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</si>
  <si>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</si>
  <si>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</si>
  <si>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</si>
  <si>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</si>
  <si>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</si>
  <si>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</si>
  <si>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</si>
  <si>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</si>
  <si>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</si>
  <si>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</si>
  <si>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</si>
  <si>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</si>
  <si>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</si>
  <si>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</si>
  <si>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</si>
  <si>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</si>
  <si>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</si>
  <si>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</si>
  <si>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</si>
  <si>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</si>
  <si>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</si>
  <si>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</si>
  <si>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</si>
  <si>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</si>
  <si>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</si>
  <si>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</si>
  <si>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</si>
  <si>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</si>
  <si>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</si>
  <si>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</si>
  <si>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</si>
  <si>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</si>
  <si>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</si>
  <si>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</si>
  <si>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</si>
  <si>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</si>
  <si>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</si>
  <si>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</si>
  <si>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</si>
  <si>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</si>
  <si>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</si>
  <si>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</si>
  <si>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</si>
  <si>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</si>
  <si>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</si>
  <si>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</si>
  <si>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</si>
  <si>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</si>
  <si>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</si>
  <si>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</si>
  <si>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</si>
  <si>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</si>
  <si>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</si>
  <si>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</si>
  <si>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</si>
  <si>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</si>
  <si>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</si>
  <si>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</si>
  <si>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</si>
  <si>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</si>
  <si>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</si>
  <si>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</si>
  <si>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</si>
  <si>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</si>
  <si>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</si>
  <si>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</si>
  <si>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</si>
  <si>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</si>
  <si>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</si>
  <si>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</si>
  <si>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</si>
  <si>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</si>
  <si>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</si>
  <si>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</si>
  <si>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</si>
  <si>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</si>
  <si>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</si>
  <si>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</si>
  <si>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</si>
  <si>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</si>
  <si>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</si>
  <si>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</si>
  <si>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</si>
  <si>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</si>
  <si>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</si>
  <si>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</si>
  <si>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</si>
  <si>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</si>
  <si>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</si>
  <si>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</si>
  <si>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</si>
  <si>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</si>
  <si>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</si>
  <si>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</si>
  <si>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</si>
  <si>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</si>
  <si>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</si>
  <si>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</si>
  <si>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</si>
  <si>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</si>
  <si>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</si>
  <si>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</si>
  <si>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</si>
  <si>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</si>
  <si>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</si>
  <si>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</si>
  <si>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</si>
  <si>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 Trihydrate</t>
  </si>
  <si>
    <t>WRS A1-3</t>
  </si>
  <si>
    <t>Clavulanic lithium</t>
  </si>
  <si>
    <t>WRS C64-2</t>
  </si>
  <si>
    <t xml:space="preserve">Amoxicillin </t>
  </si>
  <si>
    <t>CLAVULANIC</t>
  </si>
  <si>
    <t>Assay/DISS</t>
  </si>
  <si>
    <t>Peak Resolution (USP)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</si>
  <si>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1.5</t>
    </r>
  </si>
  <si>
    <r>
      <t xml:space="preserve">The Peak Resolution (USP) between Amoxicillin &amp; Clavulanic Lithium </t>
    </r>
    <r>
      <rPr>
        <b/>
        <sz val="12"/>
        <color rgb="FF000000"/>
        <rFont val="Book Antiqua"/>
        <family val="1"/>
      </rPr>
      <t>is greater than 3.5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</si>
</sst>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7" workbookViewId="0">
      <selection activeCell="C48" sqref="C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28</v>
      </c>
      <c r="B11" s="466"/>
      <c r="C11" s="466"/>
      <c r="D11" s="466"/>
      <c r="E11" s="466"/>
      <c r="F11" s="467"/>
      <c r="G11" s="43"/>
    </row>
    <row r="12" spans="1:7" ht="16.5" customHeight="1" x14ac:dyDescent="0.3">
      <c r="A12" s="464" t="s">
        <v>29</v>
      </c>
      <c r="B12" s="464"/>
      <c r="C12" s="464"/>
      <c r="D12" s="464"/>
      <c r="E12" s="464"/>
      <c r="F12" s="464"/>
      <c r="G12" s="42"/>
    </row>
    <row r="14" spans="1:7" ht="16.5" customHeight="1" x14ac:dyDescent="0.3">
      <c r="A14" s="469" t="s">
        <v>30</v>
      </c>
      <c r="B14" s="469"/>
      <c r="C14" s="12" t="s">
        <v>4</v>
      </c>
    </row>
    <row r="15" spans="1:7" ht="16.5" customHeight="1" x14ac:dyDescent="0.3">
      <c r="A15" s="469" t="s">
        <v>31</v>
      </c>
      <c r="B15" s="469"/>
      <c r="C15" s="12" t="s">
        <v>6</v>
      </c>
    </row>
    <row r="16" spans="1:7" ht="16.5" customHeight="1" x14ac:dyDescent="0.3">
      <c r="A16" s="469" t="s">
        <v>32</v>
      </c>
      <c r="B16" s="469"/>
      <c r="C16" s="12" t="s">
        <v>8</v>
      </c>
    </row>
    <row r="17" spans="1:5" ht="16.5" customHeight="1" x14ac:dyDescent="0.3">
      <c r="A17" s="469" t="s">
        <v>33</v>
      </c>
      <c r="B17" s="469"/>
      <c r="C17" s="12" t="s">
        <v>10</v>
      </c>
    </row>
    <row r="18" spans="1:5" ht="16.5" customHeight="1" x14ac:dyDescent="0.3">
      <c r="A18" s="469" t="s">
        <v>34</v>
      </c>
      <c r="B18" s="469"/>
      <c r="C18" s="49" t="s">
        <v>11</v>
      </c>
    </row>
    <row r="19" spans="1:5" ht="16.5" customHeight="1" x14ac:dyDescent="0.3">
      <c r="A19" s="469" t="s">
        <v>35</v>
      </c>
      <c r="B19" s="46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4" t="s">
        <v>1</v>
      </c>
      <c r="B21" s="464"/>
      <c r="C21" s="11" t="s">
        <v>36</v>
      </c>
      <c r="D21" s="18"/>
    </row>
    <row r="22" spans="1:5" ht="15.75" customHeight="1" x14ac:dyDescent="0.3">
      <c r="A22" s="468"/>
      <c r="B22" s="468"/>
      <c r="C22" s="9"/>
      <c r="D22" s="468"/>
      <c r="E22" s="468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1195.8399999999999</v>
      </c>
      <c r="D24" s="39">
        <f t="shared" ref="D24:D43" si="0">(C24-$C$46)/$C$46</f>
        <v>-8.5207322341035487E-3</v>
      </c>
      <c r="E24" s="5"/>
    </row>
    <row r="25" spans="1:5" ht="15.75" customHeight="1" x14ac:dyDescent="0.3">
      <c r="C25" s="47">
        <v>1218.55</v>
      </c>
      <c r="D25" s="40">
        <f t="shared" si="0"/>
        <v>1.0308286841160322E-2</v>
      </c>
      <c r="E25" s="5"/>
    </row>
    <row r="26" spans="1:5" ht="15.75" customHeight="1" x14ac:dyDescent="0.3">
      <c r="C26" s="47">
        <v>1211.3</v>
      </c>
      <c r="D26" s="40">
        <f t="shared" si="0"/>
        <v>4.2972613767982412E-3</v>
      </c>
      <c r="E26" s="5"/>
    </row>
    <row r="27" spans="1:5" ht="15.75" customHeight="1" x14ac:dyDescent="0.3">
      <c r="C27" s="47">
        <v>1230.3</v>
      </c>
      <c r="D27" s="40">
        <f t="shared" si="0"/>
        <v>2.0050293628229899E-2</v>
      </c>
      <c r="E27" s="5"/>
    </row>
    <row r="28" spans="1:5" ht="15.75" customHeight="1" x14ac:dyDescent="0.3">
      <c r="C28" s="47">
        <v>1215.69</v>
      </c>
      <c r="D28" s="40">
        <f t="shared" si="0"/>
        <v>7.9370409338396387E-3</v>
      </c>
      <c r="E28" s="5"/>
    </row>
    <row r="29" spans="1:5" ht="15.75" customHeight="1" x14ac:dyDescent="0.3">
      <c r="C29" s="47">
        <v>1184.1400000000001</v>
      </c>
      <c r="D29" s="40">
        <f t="shared" si="0"/>
        <v>-1.8221283673142893E-2</v>
      </c>
      <c r="E29" s="5"/>
    </row>
    <row r="30" spans="1:5" ht="15.75" customHeight="1" x14ac:dyDescent="0.3">
      <c r="C30" s="47">
        <v>1145.94</v>
      </c>
      <c r="D30" s="40">
        <f t="shared" si="0"/>
        <v>-4.9893169568126582E-2</v>
      </c>
      <c r="E30" s="5"/>
    </row>
    <row r="31" spans="1:5" ht="15.75" customHeight="1" x14ac:dyDescent="0.3">
      <c r="C31" s="47">
        <v>1193.5899999999999</v>
      </c>
      <c r="D31" s="40">
        <f t="shared" si="0"/>
        <v>-1.0386222895457297E-2</v>
      </c>
      <c r="E31" s="5"/>
    </row>
    <row r="32" spans="1:5" ht="15.75" customHeight="1" x14ac:dyDescent="0.3">
      <c r="C32" s="47">
        <v>1192.8599999999999</v>
      </c>
      <c r="D32" s="40">
        <f t="shared" si="0"/>
        <v>-1.0991470976696529E-2</v>
      </c>
      <c r="E32" s="5"/>
    </row>
    <row r="33" spans="1:7" ht="15.75" customHeight="1" x14ac:dyDescent="0.3">
      <c r="C33" s="47">
        <v>1205.18</v>
      </c>
      <c r="D33" s="40">
        <f t="shared" si="0"/>
        <v>-7.7687322208386527E-4</v>
      </c>
      <c r="E33" s="5"/>
    </row>
    <row r="34" spans="1:7" ht="15.75" customHeight="1" x14ac:dyDescent="0.3">
      <c r="C34" s="47">
        <v>1228.18</v>
      </c>
      <c r="D34" s="40">
        <f t="shared" si="0"/>
        <v>1.8292586871754456E-2</v>
      </c>
      <c r="E34" s="5"/>
    </row>
    <row r="35" spans="1:7" ht="15.75" customHeight="1" x14ac:dyDescent="0.3">
      <c r="C35" s="47">
        <v>1230.08</v>
      </c>
      <c r="D35" s="40">
        <f t="shared" si="0"/>
        <v>1.986789009689751E-2</v>
      </c>
      <c r="E35" s="5"/>
    </row>
    <row r="36" spans="1:7" ht="15.75" customHeight="1" x14ac:dyDescent="0.3">
      <c r="C36" s="47">
        <v>1220.96</v>
      </c>
      <c r="D36" s="40">
        <f t="shared" si="0"/>
        <v>1.2306434616210405E-2</v>
      </c>
      <c r="E36" s="5"/>
    </row>
    <row r="37" spans="1:7" ht="15.75" customHeight="1" x14ac:dyDescent="0.3">
      <c r="C37" s="47">
        <v>1194.75</v>
      </c>
      <c r="D37" s="40">
        <f t="shared" si="0"/>
        <v>-9.424458821159297E-3</v>
      </c>
      <c r="E37" s="5"/>
    </row>
    <row r="38" spans="1:7" ht="15.75" customHeight="1" x14ac:dyDescent="0.3">
      <c r="C38" s="47">
        <v>1220.81</v>
      </c>
      <c r="D38" s="40">
        <f t="shared" si="0"/>
        <v>1.2182068572120079E-2</v>
      </c>
      <c r="E38" s="5"/>
    </row>
    <row r="39" spans="1:7" ht="15.75" customHeight="1" x14ac:dyDescent="0.3">
      <c r="C39" s="47">
        <v>1206.0999999999999</v>
      </c>
      <c r="D39" s="40">
        <f t="shared" si="0"/>
        <v>-1.4094818330460579E-5</v>
      </c>
      <c r="E39" s="5"/>
    </row>
    <row r="40" spans="1:7" ht="15.75" customHeight="1" x14ac:dyDescent="0.3">
      <c r="C40" s="47">
        <v>1215.51</v>
      </c>
      <c r="D40" s="40">
        <f t="shared" si="0"/>
        <v>7.7878016809312866E-3</v>
      </c>
      <c r="E40" s="5"/>
    </row>
    <row r="41" spans="1:7" ht="15.75" customHeight="1" x14ac:dyDescent="0.3">
      <c r="C41" s="47">
        <v>1189.9000000000001</v>
      </c>
      <c r="D41" s="40">
        <f t="shared" si="0"/>
        <v>-1.3445627580077302E-2</v>
      </c>
      <c r="E41" s="5"/>
    </row>
    <row r="42" spans="1:7" ht="15.75" customHeight="1" x14ac:dyDescent="0.3">
      <c r="C42" s="47">
        <v>1209.49</v>
      </c>
      <c r="D42" s="40">
        <f t="shared" si="0"/>
        <v>2.7965777781092708E-3</v>
      </c>
      <c r="E42" s="5"/>
    </row>
    <row r="43" spans="1:7" ht="16.5" customHeight="1" x14ac:dyDescent="0.3">
      <c r="C43" s="48">
        <v>1213.17</v>
      </c>
      <c r="D43" s="41">
        <f t="shared" si="0"/>
        <v>5.8476913931234551E-3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24122.340000000004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1206.1170000000002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62">
        <f>C46</f>
        <v>1206.1170000000002</v>
      </c>
      <c r="C49" s="45">
        <f>-IF(C46&lt;=80,10%,IF(C46&lt;250,7.5%,5%))</f>
        <v>-0.05</v>
      </c>
      <c r="D49" s="33">
        <f>IF(C46&lt;=80,C46*0.9,IF(C46&lt;250,C46*0.925,C46*0.95))</f>
        <v>1145.8111500000002</v>
      </c>
    </row>
    <row r="50" spans="1:6" ht="17.25" customHeight="1" x14ac:dyDescent="0.3">
      <c r="B50" s="463"/>
      <c r="C50" s="46">
        <f>IF(C46&lt;=80, 10%, IF(C46&lt;250, 7.5%, 5%))</f>
        <v>0.05</v>
      </c>
      <c r="D50" s="33">
        <f>IF(C46&lt;=80, C46*1.1, IF(C46&lt;250, C46*1.075, C46*1.05))</f>
        <v>1266.4228500000002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46" workbookViewId="0">
      <selection activeCell="B59" sqref="B59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3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419" t="s">
        <v>1</v>
      </c>
      <c r="B16" s="420" t="s">
        <v>128</v>
      </c>
    </row>
    <row r="17" spans="1:6" ht="16.5" customHeight="1" x14ac:dyDescent="0.3">
      <c r="A17" s="421" t="s">
        <v>2</v>
      </c>
      <c r="B17" s="421" t="s">
        <v>4</v>
      </c>
      <c r="D17" s="422"/>
      <c r="E17" s="423"/>
    </row>
    <row r="18" spans="1:6" ht="16.5" customHeight="1" x14ac:dyDescent="0.3">
      <c r="A18" s="424" t="s">
        <v>3</v>
      </c>
      <c r="B18" s="421" t="s">
        <v>126</v>
      </c>
      <c r="C18" s="423"/>
      <c r="D18" s="423"/>
      <c r="E18" s="423"/>
    </row>
    <row r="19" spans="1:6" ht="16.5" customHeight="1" x14ac:dyDescent="0.3">
      <c r="A19" s="424" t="s">
        <v>5</v>
      </c>
      <c r="B19" s="425">
        <v>87.84</v>
      </c>
      <c r="C19" s="423"/>
      <c r="D19" s="423"/>
      <c r="E19" s="423"/>
    </row>
    <row r="20" spans="1:6" ht="16.5" customHeight="1" x14ac:dyDescent="0.3">
      <c r="A20" s="421" t="s">
        <v>7</v>
      </c>
      <c r="B20" s="425">
        <v>21.99</v>
      </c>
      <c r="C20" s="423"/>
      <c r="D20" s="423"/>
      <c r="E20" s="423"/>
    </row>
    <row r="21" spans="1:6" ht="16.5" customHeight="1" x14ac:dyDescent="0.3">
      <c r="A21" s="421" t="s">
        <v>9</v>
      </c>
      <c r="B21" s="426">
        <v>0.5</v>
      </c>
      <c r="C21" s="423"/>
      <c r="D21" s="423"/>
      <c r="E21" s="423"/>
    </row>
    <row r="22" spans="1:6" ht="15.75" customHeight="1" x14ac:dyDescent="0.25">
      <c r="A22" s="423"/>
      <c r="B22" s="423"/>
      <c r="C22" s="423"/>
      <c r="D22" s="423"/>
      <c r="E22" s="423"/>
    </row>
    <row r="23" spans="1:6" ht="16.5" customHeight="1" x14ac:dyDescent="0.3">
      <c r="A23" s="427" t="s">
        <v>12</v>
      </c>
      <c r="B23" s="428" t="s">
        <v>13</v>
      </c>
      <c r="C23" s="427" t="s">
        <v>14</v>
      </c>
      <c r="D23" s="427" t="s">
        <v>15</v>
      </c>
      <c r="E23" s="427" t="s">
        <v>16</v>
      </c>
      <c r="F23" s="427" t="s">
        <v>129</v>
      </c>
    </row>
    <row r="24" spans="1:6" ht="16.5" customHeight="1" x14ac:dyDescent="0.3">
      <c r="A24" s="429">
        <v>1</v>
      </c>
      <c r="B24" s="430">
        <v>85087902</v>
      </c>
      <c r="C24" s="430">
        <v>5287</v>
      </c>
      <c r="D24" s="431">
        <v>1.1000000000000001</v>
      </c>
      <c r="E24" s="432">
        <v>6</v>
      </c>
      <c r="F24" s="432">
        <v>8.9</v>
      </c>
    </row>
    <row r="25" spans="1:6" ht="16.5" customHeight="1" x14ac:dyDescent="0.3">
      <c r="A25" s="429">
        <v>2</v>
      </c>
      <c r="B25" s="430">
        <v>85865599</v>
      </c>
      <c r="C25" s="430">
        <v>5265.2</v>
      </c>
      <c r="D25" s="431">
        <v>1.1000000000000001</v>
      </c>
      <c r="E25" s="431">
        <v>6</v>
      </c>
      <c r="F25" s="431">
        <v>8.9</v>
      </c>
    </row>
    <row r="26" spans="1:6" ht="16.5" customHeight="1" x14ac:dyDescent="0.3">
      <c r="A26" s="429">
        <v>3</v>
      </c>
      <c r="B26" s="430">
        <v>85069413</v>
      </c>
      <c r="C26" s="430">
        <v>5245.1</v>
      </c>
      <c r="D26" s="431">
        <v>1.1000000000000001</v>
      </c>
      <c r="E26" s="431">
        <v>6</v>
      </c>
      <c r="F26" s="431">
        <v>8.9</v>
      </c>
    </row>
    <row r="27" spans="1:6" ht="16.5" customHeight="1" x14ac:dyDescent="0.3">
      <c r="A27" s="429">
        <v>4</v>
      </c>
      <c r="B27" s="430">
        <v>85393505</v>
      </c>
      <c r="C27" s="430">
        <v>5196.8</v>
      </c>
      <c r="D27" s="431">
        <v>1.1000000000000001</v>
      </c>
      <c r="E27" s="431">
        <v>6</v>
      </c>
      <c r="F27" s="431">
        <v>8.9</v>
      </c>
    </row>
    <row r="28" spans="1:6" ht="16.5" customHeight="1" x14ac:dyDescent="0.3">
      <c r="A28" s="429">
        <v>5</v>
      </c>
      <c r="B28" s="430">
        <v>85488979</v>
      </c>
      <c r="C28" s="430">
        <v>5202.3999999999996</v>
      </c>
      <c r="D28" s="431">
        <v>1.1000000000000001</v>
      </c>
      <c r="E28" s="431">
        <v>6</v>
      </c>
      <c r="F28" s="431">
        <v>8.9</v>
      </c>
    </row>
    <row r="29" spans="1:6" ht="16.5" customHeight="1" x14ac:dyDescent="0.3">
      <c r="A29" s="429">
        <v>6</v>
      </c>
      <c r="B29" s="433">
        <v>85501760</v>
      </c>
      <c r="C29" s="433">
        <v>5182.2</v>
      </c>
      <c r="D29" s="434">
        <v>1.1000000000000001</v>
      </c>
      <c r="E29" s="434">
        <v>6</v>
      </c>
      <c r="F29" s="434">
        <v>8.8000000000000007</v>
      </c>
    </row>
    <row r="30" spans="1:6" ht="16.5" customHeight="1" x14ac:dyDescent="0.3">
      <c r="A30" s="435" t="s">
        <v>17</v>
      </c>
      <c r="B30" s="436">
        <f>AVERAGE(B24:B29)</f>
        <v>85401193</v>
      </c>
      <c r="C30" s="437">
        <f>AVERAGE(C24:C29)</f>
        <v>5229.7833333333338</v>
      </c>
      <c r="D30" s="438">
        <f>AVERAGE(D24:D29)</f>
        <v>1.0999999999999999</v>
      </c>
      <c r="E30" s="438">
        <f>AVERAGE(E24:E29)</f>
        <v>6</v>
      </c>
      <c r="F30" s="438">
        <f>AVERAGE(F24:F29)</f>
        <v>8.8833333333333329</v>
      </c>
    </row>
    <row r="31" spans="1:6" ht="16.5" customHeight="1" x14ac:dyDescent="0.3">
      <c r="A31" s="439" t="s">
        <v>18</v>
      </c>
      <c r="B31" s="440">
        <f>(STDEV(B24:B29)/B30)</f>
        <v>3.4806051180579127E-3</v>
      </c>
      <c r="C31" s="441"/>
      <c r="D31" s="441"/>
      <c r="E31" s="442"/>
      <c r="F31" s="442"/>
    </row>
    <row r="32" spans="1:6" s="417" customFormat="1" ht="16.5" customHeight="1" x14ac:dyDescent="0.3">
      <c r="A32" s="443" t="s">
        <v>19</v>
      </c>
      <c r="B32" s="444">
        <f>COUNT(B24:B29)</f>
        <v>6</v>
      </c>
      <c r="C32" s="445"/>
      <c r="D32" s="446"/>
      <c r="E32" s="447"/>
      <c r="F32" s="447"/>
    </row>
    <row r="33" spans="1:5" s="417" customFormat="1" ht="15.75" customHeight="1" x14ac:dyDescent="0.25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20</v>
      </c>
      <c r="B34" s="448" t="s">
        <v>21</v>
      </c>
      <c r="C34" s="449"/>
      <c r="D34" s="449"/>
      <c r="E34" s="449"/>
    </row>
    <row r="35" spans="1:5" ht="16.5" customHeight="1" x14ac:dyDescent="0.3">
      <c r="A35" s="424"/>
      <c r="B35" s="448" t="s">
        <v>22</v>
      </c>
      <c r="C35" s="449"/>
      <c r="D35" s="449"/>
      <c r="E35" s="449"/>
    </row>
    <row r="36" spans="1:5" ht="16.5" customHeight="1" x14ac:dyDescent="0.3">
      <c r="A36" s="424"/>
      <c r="B36" s="448" t="s">
        <v>130</v>
      </c>
      <c r="C36" s="449"/>
      <c r="D36" s="449"/>
      <c r="E36" s="449"/>
    </row>
    <row r="37" spans="1:5" ht="16.5" customHeight="1" x14ac:dyDescent="0.3">
      <c r="A37" s="424"/>
      <c r="B37" s="448" t="s">
        <v>131</v>
      </c>
      <c r="C37" s="449"/>
      <c r="D37" s="449"/>
      <c r="E37" s="449"/>
    </row>
    <row r="38" spans="1:5" ht="15.75" customHeight="1" x14ac:dyDescent="0.25">
      <c r="A38" s="423"/>
      <c r="B38" s="423"/>
      <c r="C38" s="423"/>
      <c r="D38" s="423"/>
      <c r="E38" s="423"/>
    </row>
    <row r="39" spans="1:5" ht="16.5" customHeight="1" x14ac:dyDescent="0.3">
      <c r="A39" s="419" t="s">
        <v>1</v>
      </c>
      <c r="B39" s="420" t="s">
        <v>127</v>
      </c>
    </row>
    <row r="40" spans="1:5" ht="16.5" customHeight="1" x14ac:dyDescent="0.3">
      <c r="A40" s="424" t="s">
        <v>3</v>
      </c>
      <c r="B40" s="421" t="s">
        <v>124</v>
      </c>
      <c r="C40" s="423"/>
      <c r="D40" s="423"/>
      <c r="E40" s="423"/>
    </row>
    <row r="41" spans="1:5" ht="16.5" customHeight="1" x14ac:dyDescent="0.3">
      <c r="A41" s="424" t="s">
        <v>5</v>
      </c>
      <c r="B41" s="425">
        <v>96.96</v>
      </c>
      <c r="C41" s="423"/>
      <c r="D41" s="423"/>
      <c r="E41" s="423"/>
    </row>
    <row r="42" spans="1:5" ht="16.5" customHeight="1" x14ac:dyDescent="0.3">
      <c r="A42" s="421" t="s">
        <v>7</v>
      </c>
      <c r="B42" s="425">
        <v>9.4600000000000009</v>
      </c>
      <c r="C42" s="423"/>
      <c r="D42" s="423"/>
      <c r="E42" s="423"/>
    </row>
    <row r="43" spans="1:5" ht="16.5" customHeight="1" x14ac:dyDescent="0.3">
      <c r="A43" s="421" t="s">
        <v>9</v>
      </c>
      <c r="B43" s="426">
        <v>0.125</v>
      </c>
      <c r="C43" s="423"/>
      <c r="D43" s="423"/>
      <c r="E43" s="423"/>
    </row>
    <row r="44" spans="1:5" ht="15.75" customHeight="1" x14ac:dyDescent="0.25">
      <c r="A44" s="423"/>
      <c r="B44" s="423"/>
      <c r="C44" s="423"/>
      <c r="D44" s="423"/>
      <c r="E44" s="423"/>
    </row>
    <row r="45" spans="1:5" ht="16.5" customHeight="1" x14ac:dyDescent="0.3">
      <c r="A45" s="427" t="s">
        <v>12</v>
      </c>
      <c r="B45" s="428" t="s">
        <v>13</v>
      </c>
      <c r="C45" s="427" t="s">
        <v>14</v>
      </c>
      <c r="D45" s="427" t="s">
        <v>15</v>
      </c>
      <c r="E45" s="427" t="s">
        <v>16</v>
      </c>
    </row>
    <row r="46" spans="1:5" ht="16.5" customHeight="1" x14ac:dyDescent="0.3">
      <c r="A46" s="429">
        <v>1</v>
      </c>
      <c r="B46" s="430">
        <v>30600135</v>
      </c>
      <c r="C46" s="430">
        <v>6720.3</v>
      </c>
      <c r="D46" s="431">
        <v>1.3</v>
      </c>
      <c r="E46" s="432">
        <v>3.7</v>
      </c>
    </row>
    <row r="47" spans="1:5" ht="16.5" customHeight="1" x14ac:dyDescent="0.3">
      <c r="A47" s="429">
        <v>2</v>
      </c>
      <c r="B47" s="430">
        <v>30793764</v>
      </c>
      <c r="C47" s="430">
        <v>6737.5</v>
      </c>
      <c r="D47" s="431">
        <v>1.3</v>
      </c>
      <c r="E47" s="431">
        <v>3.7</v>
      </c>
    </row>
    <row r="48" spans="1:5" ht="16.5" customHeight="1" x14ac:dyDescent="0.3">
      <c r="A48" s="429">
        <v>3</v>
      </c>
      <c r="B48" s="430">
        <v>30568266</v>
      </c>
      <c r="C48" s="430">
        <v>6705.9</v>
      </c>
      <c r="D48" s="431">
        <v>1.3</v>
      </c>
      <c r="E48" s="431">
        <v>3.7</v>
      </c>
    </row>
    <row r="49" spans="1:7" ht="16.5" customHeight="1" x14ac:dyDescent="0.3">
      <c r="A49" s="429">
        <v>4</v>
      </c>
      <c r="B49" s="430">
        <v>30679684</v>
      </c>
      <c r="C49" s="430">
        <v>6663.8</v>
      </c>
      <c r="D49" s="431">
        <v>1.3</v>
      </c>
      <c r="E49" s="431">
        <v>3.7</v>
      </c>
    </row>
    <row r="50" spans="1:7" ht="16.5" customHeight="1" x14ac:dyDescent="0.3">
      <c r="A50" s="429">
        <v>5</v>
      </c>
      <c r="B50" s="430">
        <v>30704248</v>
      </c>
      <c r="C50" s="430">
        <v>6630.5</v>
      </c>
      <c r="D50" s="431">
        <v>1.3</v>
      </c>
      <c r="E50" s="431">
        <v>3.7</v>
      </c>
    </row>
    <row r="51" spans="1:7" ht="16.5" customHeight="1" x14ac:dyDescent="0.3">
      <c r="A51" s="429">
        <v>6</v>
      </c>
      <c r="B51" s="433">
        <v>30689325</v>
      </c>
      <c r="C51" s="433">
        <v>6616</v>
      </c>
      <c r="D51" s="434">
        <v>1.3</v>
      </c>
      <c r="E51" s="434">
        <v>3.7</v>
      </c>
    </row>
    <row r="52" spans="1:7" ht="16.5" customHeight="1" x14ac:dyDescent="0.3">
      <c r="A52" s="435" t="s">
        <v>17</v>
      </c>
      <c r="B52" s="436">
        <f>AVERAGE(B46:B51)</f>
        <v>30672570.333333332</v>
      </c>
      <c r="C52" s="437">
        <f>AVERAGE(C46:C51)</f>
        <v>6679</v>
      </c>
      <c r="D52" s="438">
        <f>AVERAGE(D46:D51)</f>
        <v>1.3</v>
      </c>
      <c r="E52" s="438">
        <f>AVERAGE(E46:E51)</f>
        <v>3.6999999999999997</v>
      </c>
    </row>
    <row r="53" spans="1:7" ht="16.5" customHeight="1" x14ac:dyDescent="0.3">
      <c r="A53" s="439" t="s">
        <v>18</v>
      </c>
      <c r="B53" s="440">
        <f>(STDEV(B46:B51)/B52)</f>
        <v>2.61425763727474E-3</v>
      </c>
      <c r="C53" s="441"/>
      <c r="D53" s="441"/>
      <c r="E53" s="442"/>
    </row>
    <row r="54" spans="1:7" s="417" customFormat="1" ht="16.5" customHeight="1" x14ac:dyDescent="0.3">
      <c r="A54" s="443" t="s">
        <v>19</v>
      </c>
      <c r="B54" s="444">
        <f>COUNT(B46:B51)</f>
        <v>6</v>
      </c>
      <c r="C54" s="445"/>
      <c r="D54" s="446"/>
      <c r="E54" s="447"/>
    </row>
    <row r="55" spans="1:7" s="417" customFormat="1" ht="15.75" customHeight="1" x14ac:dyDescent="0.25">
      <c r="A55" s="423"/>
      <c r="B55" s="423"/>
      <c r="C55" s="423"/>
      <c r="D55" s="423"/>
      <c r="E55" s="423"/>
    </row>
    <row r="56" spans="1:7" s="417" customFormat="1" ht="16.5" customHeight="1" x14ac:dyDescent="0.3">
      <c r="A56" s="424" t="s">
        <v>20</v>
      </c>
      <c r="B56" s="448" t="s">
        <v>21</v>
      </c>
      <c r="C56" s="449"/>
      <c r="D56" s="449"/>
      <c r="E56" s="449"/>
    </row>
    <row r="57" spans="1:7" ht="16.5" customHeight="1" x14ac:dyDescent="0.3">
      <c r="A57" s="424"/>
      <c r="B57" s="448" t="s">
        <v>22</v>
      </c>
      <c r="C57" s="449"/>
      <c r="D57" s="449"/>
      <c r="E57" s="449"/>
    </row>
    <row r="58" spans="1:7" ht="16.5" customHeight="1" x14ac:dyDescent="0.3">
      <c r="A58" s="424"/>
      <c r="B58" s="448" t="s">
        <v>130</v>
      </c>
      <c r="C58" s="449"/>
      <c r="D58" s="449"/>
      <c r="E58" s="449"/>
    </row>
    <row r="59" spans="1:7" ht="14.25" customHeight="1" thickBot="1" x14ac:dyDescent="0.3">
      <c r="A59" s="450"/>
      <c r="B59" s="451"/>
      <c r="D59" s="452"/>
      <c r="F59" s="453"/>
      <c r="G59" s="453"/>
    </row>
    <row r="60" spans="1:7" ht="15" customHeight="1" x14ac:dyDescent="0.3">
      <c r="B60" s="461" t="s">
        <v>23</v>
      </c>
      <c r="C60" s="461"/>
      <c r="E60" s="454" t="s">
        <v>24</v>
      </c>
      <c r="F60" s="455"/>
      <c r="G60" s="454" t="s">
        <v>25</v>
      </c>
    </row>
    <row r="61" spans="1:7" ht="15" customHeight="1" x14ac:dyDescent="0.3">
      <c r="A61" s="456" t="s">
        <v>26</v>
      </c>
      <c r="B61" s="457"/>
      <c r="C61" s="457"/>
      <c r="E61" s="457"/>
      <c r="G61" s="457"/>
    </row>
    <row r="62" spans="1:7" ht="15" customHeight="1" x14ac:dyDescent="0.3">
      <c r="A62" s="456" t="s">
        <v>27</v>
      </c>
      <c r="B62" s="458"/>
      <c r="C62" s="458"/>
      <c r="E62" s="458"/>
      <c r="G62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9" zoomScale="60" zoomScaleNormal="40" zoomScalePageLayoutView="60" workbookViewId="0">
      <selection activeCell="B69" sqref="B6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42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43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50"/>
    </row>
    <row r="16" spans="1:9" ht="19.5" customHeight="1" x14ac:dyDescent="0.3">
      <c r="A16" s="504" t="s">
        <v>28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44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52" t="s">
        <v>30</v>
      </c>
      <c r="B18" s="503" t="s">
        <v>4</v>
      </c>
      <c r="C18" s="503"/>
      <c r="D18" s="219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6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508" t="s">
        <v>8</v>
      </c>
      <c r="C20" s="508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508" t="s">
        <v>10</v>
      </c>
      <c r="C21" s="508"/>
      <c r="D21" s="508"/>
      <c r="E21" s="508"/>
      <c r="F21" s="508"/>
      <c r="G21" s="508"/>
      <c r="H21" s="508"/>
      <c r="I21" s="56"/>
    </row>
    <row r="22" spans="1:14" ht="26.25" customHeight="1" x14ac:dyDescent="0.4">
      <c r="A22" s="52" t="s">
        <v>34</v>
      </c>
      <c r="B22" s="57" t="s">
        <v>11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3</v>
      </c>
      <c r="B26" s="503" t="s">
        <v>122</v>
      </c>
      <c r="C26" s="503"/>
    </row>
    <row r="27" spans="1:14" ht="26.25" customHeight="1" x14ac:dyDescent="0.4">
      <c r="A27" s="61" t="s">
        <v>45</v>
      </c>
      <c r="B27" s="501" t="s">
        <v>123</v>
      </c>
      <c r="C27" s="501"/>
    </row>
    <row r="28" spans="1:14" ht="27" customHeight="1" x14ac:dyDescent="0.4">
      <c r="A28" s="61" t="s">
        <v>5</v>
      </c>
      <c r="B28" s="62">
        <v>87.84</v>
      </c>
    </row>
    <row r="29" spans="1:14" s="3" customFormat="1" ht="27" customHeight="1" x14ac:dyDescent="0.4">
      <c r="A29" s="61" t="s">
        <v>46</v>
      </c>
      <c r="B29" s="63"/>
      <c r="C29" s="478" t="s">
        <v>47</v>
      </c>
      <c r="D29" s="479"/>
      <c r="E29" s="479"/>
      <c r="F29" s="479"/>
      <c r="G29" s="480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87.84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81" t="s">
        <v>50</v>
      </c>
      <c r="D31" s="482"/>
      <c r="E31" s="482"/>
      <c r="F31" s="482"/>
      <c r="G31" s="482"/>
      <c r="H31" s="483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81" t="s">
        <v>52</v>
      </c>
      <c r="D32" s="482"/>
      <c r="E32" s="482"/>
      <c r="F32" s="482"/>
      <c r="G32" s="482"/>
      <c r="H32" s="48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20</v>
      </c>
      <c r="C36" s="51"/>
      <c r="D36" s="484" t="s">
        <v>56</v>
      </c>
      <c r="E36" s="502"/>
      <c r="F36" s="484" t="s">
        <v>57</v>
      </c>
      <c r="G36" s="48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10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25</v>
      </c>
      <c r="C38" s="83">
        <v>1</v>
      </c>
      <c r="D38" s="84">
        <v>86184319</v>
      </c>
      <c r="E38" s="85">
        <f>IF(ISBLANK(D38),"-",$D$48/$D$45*D38)</f>
        <v>111545153.77291051</v>
      </c>
      <c r="F38" s="84">
        <v>82125641</v>
      </c>
      <c r="G38" s="86">
        <f>IF(ISBLANK(F38),"-",$D$48/$F$45*F38)</f>
        <v>109324815.47579493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84791685</v>
      </c>
      <c r="E39" s="90">
        <f>IF(ISBLANK(D39),"-",$D$48/$D$45*D39)</f>
        <v>109742719.46140446</v>
      </c>
      <c r="F39" s="89">
        <v>80836453</v>
      </c>
      <c r="G39" s="91">
        <f>IF(ISBLANK(F39),"-",$D$48/$F$45*F39)</f>
        <v>107608661.56213951</v>
      </c>
      <c r="I39" s="486">
        <f>ABS((F43/D43*D42)-F42)/D42</f>
        <v>1.8852866324819386E-2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85167634</v>
      </c>
      <c r="E40" s="90">
        <f>IF(ISBLANK(D40),"-",$D$48/$D$45*D40)</f>
        <v>110229296.24825326</v>
      </c>
      <c r="F40" s="89">
        <v>81247108</v>
      </c>
      <c r="G40" s="91">
        <f>IF(ISBLANK(F40),"-",$D$48/$F$45*F40)</f>
        <v>108155321.30874912</v>
      </c>
      <c r="I40" s="486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85381212.666666672</v>
      </c>
      <c r="E42" s="100">
        <f>AVERAGE(E38:E41)</f>
        <v>110505723.16085608</v>
      </c>
      <c r="F42" s="99">
        <f>AVERAGE(F38:F41)</f>
        <v>81403067.333333328</v>
      </c>
      <c r="G42" s="101">
        <f>AVERAGE(G38:G41)</f>
        <v>108362932.78222786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21.99</v>
      </c>
      <c r="E43" s="92"/>
      <c r="F43" s="104">
        <v>21.38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21.99</v>
      </c>
      <c r="E44" s="107"/>
      <c r="F44" s="106">
        <f>F43*$B$34</f>
        <v>21.38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50</v>
      </c>
      <c r="C45" s="105" t="s">
        <v>74</v>
      </c>
      <c r="D45" s="109">
        <f>D44*$B$30/100</f>
        <v>19.316016000000001</v>
      </c>
      <c r="E45" s="110"/>
      <c r="F45" s="109">
        <f>F44*$B$30/100</f>
        <v>18.780192</v>
      </c>
      <c r="H45" s="102"/>
    </row>
    <row r="46" spans="1:14" ht="19.5" customHeight="1" x14ac:dyDescent="0.3">
      <c r="A46" s="472" t="s">
        <v>75</v>
      </c>
      <c r="B46" s="473"/>
      <c r="C46" s="105" t="s">
        <v>76</v>
      </c>
      <c r="D46" s="111">
        <f>D45/$B$45</f>
        <v>0.38632032000000005</v>
      </c>
      <c r="E46" s="112"/>
      <c r="F46" s="113">
        <f>F45/$B$45</f>
        <v>0.37560383999999997</v>
      </c>
      <c r="H46" s="102"/>
    </row>
    <row r="47" spans="1:14" ht="27" customHeight="1" x14ac:dyDescent="0.4">
      <c r="A47" s="474"/>
      <c r="B47" s="475"/>
      <c r="C47" s="114" t="s">
        <v>77</v>
      </c>
      <c r="D47" s="115">
        <v>0.5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109434327.97154196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1.3028207166526348E-2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tablet contains Amoxicillin Trihydrate 600 mg Clavulanate Potassium 125 mg</v>
      </c>
    </row>
    <row r="56" spans="1:12" ht="26.25" customHeight="1" x14ac:dyDescent="0.4">
      <c r="A56" s="129" t="s">
        <v>84</v>
      </c>
      <c r="B56" s="130">
        <v>500</v>
      </c>
      <c r="C56" s="51" t="str">
        <f>B20</f>
        <v>Amoxicillin Trihydrate &amp; Clavulanate Potassium</v>
      </c>
      <c r="H56" s="131"/>
    </row>
    <row r="57" spans="1:12" ht="18.75" x14ac:dyDescent="0.3">
      <c r="A57" s="128" t="s">
        <v>85</v>
      </c>
      <c r="B57" s="220">
        <f>Uniformity!C46</f>
        <v>1206.1170000000002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50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1</v>
      </c>
      <c r="C60" s="489" t="s">
        <v>91</v>
      </c>
      <c r="D60" s="492">
        <v>159.18</v>
      </c>
      <c r="E60" s="134">
        <v>1</v>
      </c>
      <c r="F60" s="135">
        <v>298085399</v>
      </c>
      <c r="G60" s="221">
        <f>IF(ISBLANK(F60),"-",(F60/$D$50*$D$47*$B$68)*($B$57/$D$60))</f>
        <v>515.97430590711383</v>
      </c>
      <c r="H60" s="136">
        <f t="shared" ref="H60:H71" si="0">IF(ISBLANK(F60),"-",G60/$B$56)</f>
        <v>1.0319486118142276</v>
      </c>
      <c r="L60" s="64"/>
    </row>
    <row r="61" spans="1:12" s="3" customFormat="1" ht="26.25" customHeight="1" x14ac:dyDescent="0.4">
      <c r="A61" s="76" t="s">
        <v>92</v>
      </c>
      <c r="B61" s="77">
        <v>1</v>
      </c>
      <c r="C61" s="490"/>
      <c r="D61" s="493"/>
      <c r="E61" s="137">
        <v>2</v>
      </c>
      <c r="F61" s="89">
        <v>297960668</v>
      </c>
      <c r="G61" s="222">
        <f>IF(ISBLANK(F61),"-",(F61/$D$50*$D$47*$B$68)*($B$57/$D$60))</f>
        <v>515.75840136644854</v>
      </c>
      <c r="H61" s="138">
        <f t="shared" si="0"/>
        <v>1.0315168027328971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90"/>
      <c r="D62" s="493"/>
      <c r="E62" s="137">
        <v>3</v>
      </c>
      <c r="F62" s="139">
        <v>297677185</v>
      </c>
      <c r="G62" s="222">
        <f>IF(ISBLANK(F62),"-",(F62/$D$50*$D$47*$B$68)*($B$57/$D$60))</f>
        <v>515.26770324888844</v>
      </c>
      <c r="H62" s="138">
        <f t="shared" si="0"/>
        <v>1.030535406497777</v>
      </c>
      <c r="L62" s="64"/>
    </row>
    <row r="63" spans="1:12" ht="27" customHeight="1" x14ac:dyDescent="0.4">
      <c r="A63" s="76" t="s">
        <v>94</v>
      </c>
      <c r="B63" s="77">
        <v>1</v>
      </c>
      <c r="C63" s="500"/>
      <c r="D63" s="494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89" t="s">
        <v>96</v>
      </c>
      <c r="D64" s="492">
        <v>195.01</v>
      </c>
      <c r="E64" s="134">
        <v>1</v>
      </c>
      <c r="F64" s="135">
        <v>355006286</v>
      </c>
      <c r="G64" s="223">
        <f>IF(ISBLANK(F64),"-",(F64/$D$50*$D$47*$B$68)*($B$57/$D$64))</f>
        <v>501.59711848249663</v>
      </c>
      <c r="H64" s="142">
        <f t="shared" si="0"/>
        <v>1.0031942369649933</v>
      </c>
    </row>
    <row r="65" spans="1:8" ht="26.25" customHeight="1" x14ac:dyDescent="0.4">
      <c r="A65" s="76" t="s">
        <v>97</v>
      </c>
      <c r="B65" s="77">
        <v>1</v>
      </c>
      <c r="C65" s="490"/>
      <c r="D65" s="493"/>
      <c r="E65" s="137">
        <v>2</v>
      </c>
      <c r="F65" s="89">
        <v>354097669</v>
      </c>
      <c r="G65" s="224">
        <f>IF(ISBLANK(F65),"-",(F65/$D$50*$D$47*$B$68)*($B$57/$D$64))</f>
        <v>500.31331116139415</v>
      </c>
      <c r="H65" s="143">
        <f t="shared" si="0"/>
        <v>1.0006266223227882</v>
      </c>
    </row>
    <row r="66" spans="1:8" ht="26.25" customHeight="1" x14ac:dyDescent="0.4">
      <c r="A66" s="76" t="s">
        <v>98</v>
      </c>
      <c r="B66" s="77">
        <v>1</v>
      </c>
      <c r="C66" s="490"/>
      <c r="D66" s="493"/>
      <c r="E66" s="137">
        <v>3</v>
      </c>
      <c r="F66" s="89">
        <v>357988095</v>
      </c>
      <c r="G66" s="224">
        <f>IF(ISBLANK(F66),"-",(F66/$D$50*$D$47*$B$68)*($B$57/$D$64))</f>
        <v>505.81018980333852</v>
      </c>
      <c r="H66" s="143">
        <f t="shared" si="0"/>
        <v>1.0116203796066769</v>
      </c>
    </row>
    <row r="67" spans="1:8" ht="27" customHeight="1" x14ac:dyDescent="0.4">
      <c r="A67" s="76" t="s">
        <v>99</v>
      </c>
      <c r="B67" s="77">
        <v>1</v>
      </c>
      <c r="C67" s="500"/>
      <c r="D67" s="494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50</v>
      </c>
      <c r="C68" s="489" t="s">
        <v>101</v>
      </c>
      <c r="D68" s="492">
        <v>158.04</v>
      </c>
      <c r="E68" s="134">
        <v>1</v>
      </c>
      <c r="F68" s="135">
        <v>282852881</v>
      </c>
      <c r="G68" s="223">
        <f>IF(ISBLANK(F68),"-",(F68/$D$50*$D$47*$B$68)*($B$57/$D$68))</f>
        <v>493.1391222144041</v>
      </c>
      <c r="H68" s="138">
        <f t="shared" si="0"/>
        <v>0.98627824442880818</v>
      </c>
    </row>
    <row r="69" spans="1:8" ht="27" customHeight="1" x14ac:dyDescent="0.4">
      <c r="A69" s="124" t="s">
        <v>102</v>
      </c>
      <c r="B69" s="146">
        <f>(D47*B68)/B56*B57</f>
        <v>60.305850000000014</v>
      </c>
      <c r="C69" s="490"/>
      <c r="D69" s="493"/>
      <c r="E69" s="137">
        <v>2</v>
      </c>
      <c r="F69" s="89">
        <v>283672669</v>
      </c>
      <c r="G69" s="224">
        <f>IF(ISBLANK(F69),"-",(F69/$D$50*$D$47*$B$68)*($B$57/$D$68))</f>
        <v>494.5683794780835</v>
      </c>
      <c r="H69" s="138">
        <f t="shared" si="0"/>
        <v>0.98913675895616704</v>
      </c>
    </row>
    <row r="70" spans="1:8" ht="26.25" customHeight="1" x14ac:dyDescent="0.4">
      <c r="A70" s="495" t="s">
        <v>75</v>
      </c>
      <c r="B70" s="496"/>
      <c r="C70" s="490"/>
      <c r="D70" s="493"/>
      <c r="E70" s="137">
        <v>3</v>
      </c>
      <c r="F70" s="89">
        <v>282886435</v>
      </c>
      <c r="G70" s="224">
        <f>IF(ISBLANK(F70),"-",(F70/$D$50*$D$47*$B$68)*($B$57/$D$68))</f>
        <v>493.19762184873093</v>
      </c>
      <c r="H70" s="138">
        <f t="shared" si="0"/>
        <v>0.9863952436974619</v>
      </c>
    </row>
    <row r="71" spans="1:8" ht="27" customHeight="1" x14ac:dyDescent="0.4">
      <c r="A71" s="497"/>
      <c r="B71" s="498"/>
      <c r="C71" s="491"/>
      <c r="D71" s="494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30">
        <f>AVERAGE(G60:G71)</f>
        <v>503.95846150121088</v>
      </c>
      <c r="H72" s="151">
        <f>AVERAGE(H60:H71)</f>
        <v>1.0079169230024219</v>
      </c>
    </row>
    <row r="73" spans="1:8" ht="26.25" customHeight="1" x14ac:dyDescent="0.4">
      <c r="C73" s="148"/>
      <c r="D73" s="148"/>
      <c r="E73" s="148"/>
      <c r="F73" s="152" t="s">
        <v>81</v>
      </c>
      <c r="G73" s="226">
        <f>STDEV(G60:G71)/G72</f>
        <v>1.927467107950763E-2</v>
      </c>
      <c r="H73" s="226">
        <f>STDEV(H60:H71)/H72</f>
        <v>1.9274671079507633E-2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476" t="str">
        <f>B20</f>
        <v>Amoxicillin Trihydrate &amp; Clavulanate Potassium</v>
      </c>
      <c r="D76" s="476"/>
      <c r="E76" s="157" t="s">
        <v>105</v>
      </c>
      <c r="F76" s="157"/>
      <c r="G76" s="158">
        <f>H72</f>
        <v>1.0079169230024219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3</v>
      </c>
      <c r="B79" s="499" t="str">
        <f>B26</f>
        <v>Amoxicillin Trihydrate</v>
      </c>
      <c r="C79" s="499"/>
    </row>
    <row r="80" spans="1:8" ht="26.25" customHeight="1" x14ac:dyDescent="0.4">
      <c r="A80" s="61" t="s">
        <v>45</v>
      </c>
      <c r="B80" s="499" t="str">
        <f>B27</f>
        <v>WRS A1-3</v>
      </c>
      <c r="C80" s="499"/>
    </row>
    <row r="81" spans="1:12" ht="27" customHeight="1" x14ac:dyDescent="0.4">
      <c r="A81" s="61" t="s">
        <v>5</v>
      </c>
      <c r="B81" s="160">
        <f>B28</f>
        <v>87.84</v>
      </c>
    </row>
    <row r="82" spans="1:12" s="3" customFormat="1" ht="27" customHeight="1" x14ac:dyDescent="0.4">
      <c r="A82" s="61" t="s">
        <v>46</v>
      </c>
      <c r="B82" s="63">
        <v>0</v>
      </c>
      <c r="C82" s="478" t="s">
        <v>47</v>
      </c>
      <c r="D82" s="479"/>
      <c r="E82" s="479"/>
      <c r="F82" s="479"/>
      <c r="G82" s="480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87.84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81" t="s">
        <v>108</v>
      </c>
      <c r="D84" s="482"/>
      <c r="E84" s="482"/>
      <c r="F84" s="482"/>
      <c r="G84" s="482"/>
      <c r="H84" s="483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81" t="s">
        <v>109</v>
      </c>
      <c r="D85" s="482"/>
      <c r="E85" s="482"/>
      <c r="F85" s="482"/>
      <c r="G85" s="482"/>
      <c r="H85" s="48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20</v>
      </c>
      <c r="D89" s="161" t="s">
        <v>56</v>
      </c>
      <c r="E89" s="162"/>
      <c r="F89" s="484" t="s">
        <v>57</v>
      </c>
      <c r="G89" s="485"/>
    </row>
    <row r="90" spans="1:12" ht="27" customHeight="1" x14ac:dyDescent="0.4">
      <c r="A90" s="76" t="s">
        <v>58</v>
      </c>
      <c r="B90" s="77">
        <v>10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25</v>
      </c>
      <c r="C91" s="165">
        <v>1</v>
      </c>
      <c r="D91" s="84">
        <v>86184319</v>
      </c>
      <c r="E91" s="85">
        <f>IF(ISBLANK(D91),"-",$D$101/$D$98*D91)</f>
        <v>123939059.74767835</v>
      </c>
      <c r="F91" s="84">
        <v>82125641</v>
      </c>
      <c r="G91" s="86">
        <f>IF(ISBLANK(F91),"-",$D$101/$F$98*F91)</f>
        <v>121472017.19532768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84791685</v>
      </c>
      <c r="E92" s="90">
        <f>IF(ISBLANK(D92),"-",$D$101/$D$98*D92)</f>
        <v>121936354.95711607</v>
      </c>
      <c r="F92" s="89">
        <v>80836453</v>
      </c>
      <c r="G92" s="91">
        <f>IF(ISBLANK(F92),"-",$D$101/$F$98*F92)</f>
        <v>119565179.51348835</v>
      </c>
      <c r="I92" s="486">
        <f>ABS((F96/D96*D95)-F95)/D95</f>
        <v>1.8852866324819386E-2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85167634</v>
      </c>
      <c r="E93" s="90">
        <f>IF(ISBLANK(D93),"-",$D$101/$D$98*D93)</f>
        <v>122476995.83139251</v>
      </c>
      <c r="F93" s="89">
        <v>81247108</v>
      </c>
      <c r="G93" s="91">
        <f>IF(ISBLANK(F93),"-",$D$101/$F$98*F93)</f>
        <v>120172579.23194349</v>
      </c>
      <c r="I93" s="486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85381212.666666672</v>
      </c>
      <c r="E95" s="100">
        <f>AVERAGE(E91:E94)</f>
        <v>122784136.84539564</v>
      </c>
      <c r="F95" s="170">
        <f>AVERAGE(F91:F94)</f>
        <v>81403067.333333328</v>
      </c>
      <c r="G95" s="171">
        <f>AVERAGE(G91:G94)</f>
        <v>120403258.64691985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21.99</v>
      </c>
      <c r="E96" s="92"/>
      <c r="F96" s="104">
        <v>21.38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21.99</v>
      </c>
      <c r="E97" s="107"/>
      <c r="F97" s="106">
        <f>F96*$B$87</f>
        <v>21.38</v>
      </c>
    </row>
    <row r="98" spans="1:10" ht="19.5" customHeight="1" x14ac:dyDescent="0.3">
      <c r="A98" s="76" t="s">
        <v>73</v>
      </c>
      <c r="B98" s="176">
        <f>(B97/B96)*(B95/B94)*(B93/B92)*(B91/B90)*B89</f>
        <v>50</v>
      </c>
      <c r="C98" s="174" t="s">
        <v>112</v>
      </c>
      <c r="D98" s="177">
        <f>D97*$B$83/100</f>
        <v>19.316016000000001</v>
      </c>
      <c r="E98" s="110"/>
      <c r="F98" s="109">
        <f>F97*$B$83/100</f>
        <v>18.780192</v>
      </c>
    </row>
    <row r="99" spans="1:10" ht="19.5" customHeight="1" x14ac:dyDescent="0.3">
      <c r="A99" s="472" t="s">
        <v>75</v>
      </c>
      <c r="B99" s="487"/>
      <c r="C99" s="174" t="s">
        <v>113</v>
      </c>
      <c r="D99" s="178">
        <f>D98/$B$98</f>
        <v>0.38632032000000005</v>
      </c>
      <c r="E99" s="110"/>
      <c r="F99" s="113">
        <f>F98/$B$98</f>
        <v>0.37560383999999997</v>
      </c>
      <c r="G99" s="179"/>
      <c r="H99" s="102"/>
    </row>
    <row r="100" spans="1:10" ht="19.5" customHeight="1" x14ac:dyDescent="0.3">
      <c r="A100" s="474"/>
      <c r="B100" s="488"/>
      <c r="C100" s="174" t="s">
        <v>77</v>
      </c>
      <c r="D100" s="180">
        <f>$B$56/$B$116</f>
        <v>0.55555555555555558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27.777777777777779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27.777777777777779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121593697.74615775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1.302820716652635E-2</v>
      </c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119439935</v>
      </c>
      <c r="E108" s="227">
        <f t="shared" ref="E108:E113" si="1">IF(ISBLANK(D108),"-",D108/$D$103*$D$100*$B$116)</f>
        <v>491.14360864880513</v>
      </c>
      <c r="F108" s="197">
        <f t="shared" ref="F108:F113" si="2">IF(ISBLANK(D108), "-", E108/$B$56)</f>
        <v>0.98228721729761026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126733511</v>
      </c>
      <c r="E109" s="228">
        <f t="shared" si="1"/>
        <v>521.1351959398927</v>
      </c>
      <c r="F109" s="198">
        <f t="shared" si="2"/>
        <v>1.0422703918797853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118522313</v>
      </c>
      <c r="E110" s="228">
        <f t="shared" si="1"/>
        <v>487.37029631021818</v>
      </c>
      <c r="F110" s="198">
        <f t="shared" si="2"/>
        <v>0.97474059262043633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125716887</v>
      </c>
      <c r="E111" s="228">
        <f t="shared" si="1"/>
        <v>516.95478191003747</v>
      </c>
      <c r="F111" s="198">
        <f t="shared" si="2"/>
        <v>1.033909563820075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118785704</v>
      </c>
      <c r="E112" s="228">
        <f t="shared" si="1"/>
        <v>488.4533746476738</v>
      </c>
      <c r="F112" s="198">
        <f t="shared" si="2"/>
        <v>0.9769067492953476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128627268</v>
      </c>
      <c r="E113" s="229">
        <f t="shared" si="1"/>
        <v>528.92242930437772</v>
      </c>
      <c r="F113" s="201">
        <f t="shared" si="2"/>
        <v>1.0578448586087554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 t="s">
        <v>68</v>
      </c>
      <c r="E115" s="231">
        <f>AVERAGE(E108:E113)</f>
        <v>505.66328112683414</v>
      </c>
      <c r="F115" s="204">
        <f>AVERAGE(F108:F113)</f>
        <v>1.0113265622536682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5"/>
      <c r="D116" s="168" t="s">
        <v>81</v>
      </c>
      <c r="E116" s="206">
        <f>STDEV(E108:E113)/E115</f>
        <v>3.6992245851316982E-2</v>
      </c>
      <c r="F116" s="206">
        <f>STDEV(F108:F113)/F115</f>
        <v>3.6992245851316989E-2</v>
      </c>
      <c r="I116" s="50"/>
    </row>
    <row r="117" spans="1:10" ht="27" customHeight="1" x14ac:dyDescent="0.4">
      <c r="A117" s="472" t="s">
        <v>75</v>
      </c>
      <c r="B117" s="473"/>
      <c r="C117" s="207"/>
      <c r="D117" s="208" t="s">
        <v>19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74"/>
      <c r="B118" s="47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476" t="str">
        <f>B20</f>
        <v>Amoxicillin Trihydrate &amp; Clavulanate Potassium</v>
      </c>
      <c r="D120" s="476"/>
      <c r="E120" s="157" t="s">
        <v>121</v>
      </c>
      <c r="F120" s="157"/>
      <c r="G120" s="158">
        <f>F115</f>
        <v>1.0113265622536682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77" t="s">
        <v>23</v>
      </c>
      <c r="C122" s="477"/>
      <c r="E122" s="163" t="s">
        <v>24</v>
      </c>
      <c r="F122" s="212"/>
      <c r="G122" s="477" t="s">
        <v>25</v>
      </c>
      <c r="H122" s="477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0" zoomScale="60" zoomScaleNormal="40" zoomScalePageLayoutView="50" workbookViewId="0">
      <selection activeCell="B28" sqref="B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0" t="s">
        <v>42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43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233"/>
    </row>
    <row r="16" spans="1:9" ht="19.5" customHeight="1" x14ac:dyDescent="0.3">
      <c r="A16" s="504" t="s">
        <v>28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44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235" t="s">
        <v>30</v>
      </c>
      <c r="B18" s="503" t="s">
        <v>4</v>
      </c>
      <c r="C18" s="503"/>
      <c r="D18" s="402"/>
      <c r="E18" s="236"/>
      <c r="F18" s="237"/>
      <c r="G18" s="237"/>
      <c r="H18" s="237"/>
    </row>
    <row r="19" spans="1:14" ht="26.25" customHeight="1" x14ac:dyDescent="0.4">
      <c r="A19" s="235" t="s">
        <v>31</v>
      </c>
      <c r="B19" s="238" t="s">
        <v>6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32</v>
      </c>
      <c r="B20" s="508" t="s">
        <v>8</v>
      </c>
      <c r="C20" s="508"/>
      <c r="D20" s="237"/>
      <c r="E20" s="237"/>
      <c r="F20" s="237"/>
      <c r="G20" s="237"/>
      <c r="H20" s="237"/>
    </row>
    <row r="21" spans="1:14" ht="26.25" customHeight="1" x14ac:dyDescent="0.4">
      <c r="A21" s="235" t="s">
        <v>33</v>
      </c>
      <c r="B21" s="508" t="s">
        <v>10</v>
      </c>
      <c r="C21" s="508"/>
      <c r="D21" s="508"/>
      <c r="E21" s="508"/>
      <c r="F21" s="508"/>
      <c r="G21" s="508"/>
      <c r="H21" s="508"/>
      <c r="I21" s="239"/>
    </row>
    <row r="22" spans="1:14" ht="26.25" customHeight="1" x14ac:dyDescent="0.4">
      <c r="A22" s="235" t="s">
        <v>34</v>
      </c>
      <c r="B22" s="240" t="s">
        <v>11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35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3</v>
      </c>
      <c r="B26" s="503" t="s">
        <v>124</v>
      </c>
      <c r="C26" s="503"/>
    </row>
    <row r="27" spans="1:14" ht="26.25" customHeight="1" x14ac:dyDescent="0.4">
      <c r="A27" s="244" t="s">
        <v>45</v>
      </c>
      <c r="B27" s="501" t="s">
        <v>125</v>
      </c>
      <c r="C27" s="501"/>
    </row>
    <row r="28" spans="1:14" ht="27" customHeight="1" x14ac:dyDescent="0.4">
      <c r="A28" s="244" t="s">
        <v>5</v>
      </c>
      <c r="B28" s="245">
        <v>96.96</v>
      </c>
    </row>
    <row r="29" spans="1:14" s="3" customFormat="1" ht="27" customHeight="1" x14ac:dyDescent="0.4">
      <c r="A29" s="244" t="s">
        <v>46</v>
      </c>
      <c r="B29" s="246"/>
      <c r="C29" s="478" t="s">
        <v>47</v>
      </c>
      <c r="D29" s="479"/>
      <c r="E29" s="479"/>
      <c r="F29" s="479"/>
      <c r="G29" s="480"/>
      <c r="I29" s="247"/>
      <c r="J29" s="247"/>
      <c r="K29" s="247"/>
      <c r="L29" s="247"/>
    </row>
    <row r="30" spans="1:14" s="3" customFormat="1" ht="19.5" customHeight="1" x14ac:dyDescent="0.3">
      <c r="A30" s="244" t="s">
        <v>48</v>
      </c>
      <c r="B30" s="248">
        <f>B28-B29</f>
        <v>96.96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49</v>
      </c>
      <c r="B31" s="251">
        <v>1</v>
      </c>
      <c r="C31" s="481" t="s">
        <v>50</v>
      </c>
      <c r="D31" s="482"/>
      <c r="E31" s="482"/>
      <c r="F31" s="482"/>
      <c r="G31" s="482"/>
      <c r="H31" s="483"/>
      <c r="I31" s="247"/>
      <c r="J31" s="247"/>
      <c r="K31" s="247"/>
      <c r="L31" s="247"/>
    </row>
    <row r="32" spans="1:14" s="3" customFormat="1" ht="27" customHeight="1" x14ac:dyDescent="0.4">
      <c r="A32" s="244" t="s">
        <v>51</v>
      </c>
      <c r="B32" s="251">
        <v>1</v>
      </c>
      <c r="C32" s="481" t="s">
        <v>52</v>
      </c>
      <c r="D32" s="482"/>
      <c r="E32" s="482"/>
      <c r="F32" s="482"/>
      <c r="G32" s="482"/>
      <c r="H32" s="483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53</v>
      </c>
      <c r="B34" s="256">
        <f>B31/B32</f>
        <v>1</v>
      </c>
      <c r="C34" s="234" t="s">
        <v>54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55</v>
      </c>
      <c r="B36" s="258">
        <v>10</v>
      </c>
      <c r="C36" s="234"/>
      <c r="D36" s="484" t="s">
        <v>56</v>
      </c>
      <c r="E36" s="502"/>
      <c r="F36" s="484" t="s">
        <v>57</v>
      </c>
      <c r="G36" s="485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58</v>
      </c>
      <c r="B37" s="260">
        <v>3</v>
      </c>
      <c r="C37" s="261" t="s">
        <v>59</v>
      </c>
      <c r="D37" s="262" t="s">
        <v>60</v>
      </c>
      <c r="E37" s="263" t="s">
        <v>61</v>
      </c>
      <c r="F37" s="262" t="s">
        <v>60</v>
      </c>
      <c r="G37" s="264" t="s">
        <v>61</v>
      </c>
      <c r="I37" s="265" t="s">
        <v>62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63</v>
      </c>
      <c r="B38" s="260">
        <v>25</v>
      </c>
      <c r="C38" s="266">
        <v>1</v>
      </c>
      <c r="D38" s="267">
        <v>30878649</v>
      </c>
      <c r="E38" s="268">
        <f>IF(ISBLANK(D38),"-",$D$48/$D$45*D38)</f>
        <v>56107807.365038827</v>
      </c>
      <c r="F38" s="267">
        <v>40793568</v>
      </c>
      <c r="G38" s="269">
        <f>IF(ISBLANK(F38),"-",$D$48/$F$45*F38)</f>
        <v>56051924.137257859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64</v>
      </c>
      <c r="B39" s="260">
        <v>1</v>
      </c>
      <c r="C39" s="271">
        <v>2</v>
      </c>
      <c r="D39" s="272">
        <v>30342598</v>
      </c>
      <c r="E39" s="273">
        <f>IF(ISBLANK(D39),"-",$D$48/$D$45*D39)</f>
        <v>55133780.093125589</v>
      </c>
      <c r="F39" s="272">
        <v>39865613</v>
      </c>
      <c r="G39" s="274">
        <f>IF(ISBLANK(F39),"-",$D$48/$F$45*F39)</f>
        <v>54776878.442240715</v>
      </c>
      <c r="I39" s="486">
        <f>ABS((F43/D43*D42)-F42)/D42</f>
        <v>4.1045051583482577E-3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65</v>
      </c>
      <c r="B40" s="260">
        <v>1</v>
      </c>
      <c r="C40" s="271">
        <v>3</v>
      </c>
      <c r="D40" s="272">
        <v>30385200</v>
      </c>
      <c r="E40" s="273">
        <f>IF(ISBLANK(D40),"-",$D$48/$D$45*D40)</f>
        <v>55211189.723623522</v>
      </c>
      <c r="F40" s="272">
        <v>40106115</v>
      </c>
      <c r="G40" s="274">
        <f>IF(ISBLANK(F40),"-",$D$48/$F$45*F40)</f>
        <v>55107337.397408813</v>
      </c>
      <c r="I40" s="486"/>
      <c r="L40" s="252"/>
      <c r="M40" s="252"/>
      <c r="N40" s="275"/>
    </row>
    <row r="41" spans="1:14" ht="27" customHeight="1" x14ac:dyDescent="0.4">
      <c r="A41" s="259" t="s">
        <v>66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67</v>
      </c>
      <c r="B42" s="260">
        <v>1</v>
      </c>
      <c r="C42" s="281" t="s">
        <v>68</v>
      </c>
      <c r="D42" s="282">
        <f>AVERAGE(D38:D41)</f>
        <v>30535482.333333332</v>
      </c>
      <c r="E42" s="283">
        <f>AVERAGE(E38:E41)</f>
        <v>55484259.060595982</v>
      </c>
      <c r="F42" s="282">
        <f>AVERAGE(F38:F41)</f>
        <v>40255098.666666664</v>
      </c>
      <c r="G42" s="284">
        <f>AVERAGE(G38:G41)</f>
        <v>55312046.658969127</v>
      </c>
      <c r="H42" s="285"/>
    </row>
    <row r="43" spans="1:14" ht="26.25" customHeight="1" x14ac:dyDescent="0.4">
      <c r="A43" s="259" t="s">
        <v>69</v>
      </c>
      <c r="B43" s="260">
        <v>1</v>
      </c>
      <c r="C43" s="286" t="s">
        <v>70</v>
      </c>
      <c r="D43" s="287">
        <v>9.4600000000000009</v>
      </c>
      <c r="E43" s="275"/>
      <c r="F43" s="287">
        <v>12.51</v>
      </c>
      <c r="H43" s="285"/>
    </row>
    <row r="44" spans="1:14" ht="26.25" customHeight="1" x14ac:dyDescent="0.4">
      <c r="A44" s="259" t="s">
        <v>71</v>
      </c>
      <c r="B44" s="260">
        <v>1</v>
      </c>
      <c r="C44" s="288" t="s">
        <v>72</v>
      </c>
      <c r="D44" s="289">
        <f>D43*$B$34</f>
        <v>9.4600000000000009</v>
      </c>
      <c r="E44" s="290"/>
      <c r="F44" s="289">
        <f>F43*$B$34</f>
        <v>12.51</v>
      </c>
      <c r="H44" s="285"/>
    </row>
    <row r="45" spans="1:14" ht="19.5" customHeight="1" x14ac:dyDescent="0.3">
      <c r="A45" s="259" t="s">
        <v>73</v>
      </c>
      <c r="B45" s="291">
        <f>(B44/B43)*(B42/B41)*(B40/B39)*(B38/B37)*B36</f>
        <v>83.333333333333343</v>
      </c>
      <c r="C45" s="288" t="s">
        <v>74</v>
      </c>
      <c r="D45" s="292">
        <f>D44*$B$30/100</f>
        <v>9.1724160000000001</v>
      </c>
      <c r="E45" s="293"/>
      <c r="F45" s="292">
        <f>F44*$B$30/100</f>
        <v>12.129695999999999</v>
      </c>
      <c r="H45" s="285"/>
    </row>
    <row r="46" spans="1:14" ht="19.5" customHeight="1" x14ac:dyDescent="0.3">
      <c r="A46" s="472" t="s">
        <v>75</v>
      </c>
      <c r="B46" s="473"/>
      <c r="C46" s="288" t="s">
        <v>76</v>
      </c>
      <c r="D46" s="294">
        <f>D45/$B$45</f>
        <v>0.11006899199999999</v>
      </c>
      <c r="E46" s="295"/>
      <c r="F46" s="296">
        <f>F45/$B$45</f>
        <v>0.14555635199999997</v>
      </c>
      <c r="H46" s="285"/>
    </row>
    <row r="47" spans="1:14" ht="27" customHeight="1" x14ac:dyDescent="0.4">
      <c r="A47" s="474"/>
      <c r="B47" s="475"/>
      <c r="C47" s="297" t="s">
        <v>77</v>
      </c>
      <c r="D47" s="298">
        <v>0.2</v>
      </c>
      <c r="E47" s="299"/>
      <c r="F47" s="295"/>
      <c r="H47" s="285"/>
    </row>
    <row r="48" spans="1:14" ht="18.75" x14ac:dyDescent="0.3">
      <c r="C48" s="300" t="s">
        <v>78</v>
      </c>
      <c r="D48" s="292">
        <f>D47*$B$45</f>
        <v>16.666666666666668</v>
      </c>
      <c r="F48" s="301"/>
      <c r="H48" s="285"/>
    </row>
    <row r="49" spans="1:12" ht="19.5" customHeight="1" x14ac:dyDescent="0.3">
      <c r="C49" s="302" t="s">
        <v>79</v>
      </c>
      <c r="D49" s="303">
        <f>D48/B34</f>
        <v>16.666666666666668</v>
      </c>
      <c r="F49" s="301"/>
      <c r="H49" s="285"/>
    </row>
    <row r="50" spans="1:12" ht="18.75" x14ac:dyDescent="0.3">
      <c r="C50" s="257" t="s">
        <v>80</v>
      </c>
      <c r="D50" s="304">
        <f>AVERAGE(E38:E41,G38:G41)</f>
        <v>55398152.859782554</v>
      </c>
      <c r="F50" s="305"/>
      <c r="H50" s="285"/>
    </row>
    <row r="51" spans="1:12" ht="18.75" x14ac:dyDescent="0.3">
      <c r="C51" s="259" t="s">
        <v>81</v>
      </c>
      <c r="D51" s="306">
        <f>STDEV(E38:E41,G38:G41)/D50</f>
        <v>9.9081872892231269E-3</v>
      </c>
      <c r="F51" s="305"/>
      <c r="H51" s="285"/>
    </row>
    <row r="52" spans="1:12" ht="19.5" customHeight="1" x14ac:dyDescent="0.3">
      <c r="C52" s="307" t="s">
        <v>19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82</v>
      </c>
    </row>
    <row r="55" spans="1:12" ht="18.75" x14ac:dyDescent="0.3">
      <c r="A55" s="234" t="s">
        <v>83</v>
      </c>
      <c r="B55" s="311" t="str">
        <f>B21</f>
        <v>Each tablet contains Amoxicillin Trihydrate 600 mg Clavulanate Potassium 125 mg</v>
      </c>
    </row>
    <row r="56" spans="1:12" ht="26.25" customHeight="1" x14ac:dyDescent="0.4">
      <c r="A56" s="312" t="s">
        <v>84</v>
      </c>
      <c r="B56" s="313">
        <v>125</v>
      </c>
      <c r="C56" s="234" t="str">
        <f>B20</f>
        <v>Amoxicillin Trihydrate &amp; Clavulanate Potassium</v>
      </c>
      <c r="H56" s="314"/>
    </row>
    <row r="57" spans="1:12" ht="18.75" x14ac:dyDescent="0.3">
      <c r="A57" s="311" t="s">
        <v>85</v>
      </c>
      <c r="B57" s="403">
        <f>Uniformity!C46</f>
        <v>1206.1170000000002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86</v>
      </c>
      <c r="B59" s="258">
        <v>50</v>
      </c>
      <c r="C59" s="234"/>
      <c r="D59" s="315" t="s">
        <v>87</v>
      </c>
      <c r="E59" s="316" t="s">
        <v>59</v>
      </c>
      <c r="F59" s="316" t="s">
        <v>60</v>
      </c>
      <c r="G59" s="316" t="s">
        <v>88</v>
      </c>
      <c r="H59" s="261" t="s">
        <v>89</v>
      </c>
      <c r="L59" s="247"/>
    </row>
    <row r="60" spans="1:12" s="3" customFormat="1" ht="26.25" customHeight="1" x14ac:dyDescent="0.4">
      <c r="A60" s="259" t="s">
        <v>90</v>
      </c>
      <c r="B60" s="260">
        <v>1</v>
      </c>
      <c r="C60" s="489" t="s">
        <v>91</v>
      </c>
      <c r="D60" s="492">
        <v>159.18</v>
      </c>
      <c r="E60" s="317">
        <v>1</v>
      </c>
      <c r="F60" s="318">
        <v>92091104</v>
      </c>
      <c r="G60" s="404">
        <f>IF(ISBLANK(F60),"-",(F60/$D$50*$D$47*$B$68)*($B$57/$D$60))</f>
        <v>125.95729736925398</v>
      </c>
      <c r="H60" s="319">
        <f t="shared" ref="H60:H71" si="0">IF(ISBLANK(F60),"-",G60/$B$56)</f>
        <v>1.0076583789540319</v>
      </c>
      <c r="L60" s="247"/>
    </row>
    <row r="61" spans="1:12" s="3" customFormat="1" ht="26.25" customHeight="1" x14ac:dyDescent="0.4">
      <c r="A61" s="259" t="s">
        <v>92</v>
      </c>
      <c r="B61" s="260">
        <v>1</v>
      </c>
      <c r="C61" s="490"/>
      <c r="D61" s="493"/>
      <c r="E61" s="320">
        <v>2</v>
      </c>
      <c r="F61" s="272">
        <v>92403542</v>
      </c>
      <c r="G61" s="405">
        <f>IF(ISBLANK(F61),"-",(F61/$D$50*$D$47*$B$68)*($B$57/$D$60))</f>
        <v>126.38463339158525</v>
      </c>
      <c r="H61" s="321">
        <f t="shared" si="0"/>
        <v>1.0110770671326821</v>
      </c>
      <c r="L61" s="247"/>
    </row>
    <row r="62" spans="1:12" s="3" customFormat="1" ht="26.25" customHeight="1" x14ac:dyDescent="0.4">
      <c r="A62" s="259" t="s">
        <v>93</v>
      </c>
      <c r="B62" s="260">
        <v>1</v>
      </c>
      <c r="C62" s="490"/>
      <c r="D62" s="493"/>
      <c r="E62" s="320">
        <v>3</v>
      </c>
      <c r="F62" s="322">
        <v>92199317</v>
      </c>
      <c r="G62" s="405">
        <f>IF(ISBLANK(F62),"-",(F62/$D$50*$D$47*$B$68)*($B$57/$D$60))</f>
        <v>126.10530533558504</v>
      </c>
      <c r="H62" s="321">
        <f t="shared" si="0"/>
        <v>1.0088424426846803</v>
      </c>
      <c r="L62" s="247"/>
    </row>
    <row r="63" spans="1:12" ht="27" customHeight="1" x14ac:dyDescent="0.4">
      <c r="A63" s="259" t="s">
        <v>94</v>
      </c>
      <c r="B63" s="260">
        <v>1</v>
      </c>
      <c r="C63" s="500"/>
      <c r="D63" s="494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95</v>
      </c>
      <c r="B64" s="260">
        <v>1</v>
      </c>
      <c r="C64" s="489" t="s">
        <v>96</v>
      </c>
      <c r="D64" s="492">
        <v>195.01</v>
      </c>
      <c r="E64" s="317">
        <v>1</v>
      </c>
      <c r="F64" s="318">
        <v>115132136</v>
      </c>
      <c r="G64" s="406">
        <f>IF(ISBLANK(F64),"-",(F64/$D$50*$D$47*$B$68)*($B$57/$D$64))</f>
        <v>128.53867956614022</v>
      </c>
      <c r="H64" s="325">
        <f t="shared" si="0"/>
        <v>1.0283094365291217</v>
      </c>
    </row>
    <row r="65" spans="1:8" ht="26.25" customHeight="1" x14ac:dyDescent="0.4">
      <c r="A65" s="259" t="s">
        <v>97</v>
      </c>
      <c r="B65" s="260">
        <v>1</v>
      </c>
      <c r="C65" s="490"/>
      <c r="D65" s="493"/>
      <c r="E65" s="320">
        <v>2</v>
      </c>
      <c r="F65" s="272">
        <v>115353013</v>
      </c>
      <c r="G65" s="407">
        <f>IF(ISBLANK(F65),"-",(F65/$D$50*$D$47*$B$68)*($B$57/$D$64))</f>
        <v>128.7852765538529</v>
      </c>
      <c r="H65" s="326">
        <f t="shared" si="0"/>
        <v>1.0302822124308231</v>
      </c>
    </row>
    <row r="66" spans="1:8" ht="26.25" customHeight="1" x14ac:dyDescent="0.4">
      <c r="A66" s="259" t="s">
        <v>98</v>
      </c>
      <c r="B66" s="260">
        <v>1</v>
      </c>
      <c r="C66" s="490"/>
      <c r="D66" s="493"/>
      <c r="E66" s="320">
        <v>3</v>
      </c>
      <c r="F66" s="272">
        <v>115230539</v>
      </c>
      <c r="G66" s="407">
        <f>IF(ISBLANK(F66),"-",(F66/$D$50*$D$47*$B$68)*($B$57/$D$64))</f>
        <v>128.64854108808177</v>
      </c>
      <c r="H66" s="326">
        <f t="shared" si="0"/>
        <v>1.0291883287046542</v>
      </c>
    </row>
    <row r="67" spans="1:8" ht="27" customHeight="1" x14ac:dyDescent="0.4">
      <c r="A67" s="259" t="s">
        <v>99</v>
      </c>
      <c r="B67" s="260">
        <v>1</v>
      </c>
      <c r="C67" s="500"/>
      <c r="D67" s="494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100</v>
      </c>
      <c r="B68" s="328">
        <f>(B67/B66)*(B65/B64)*(B63/B62)*(B61/B60)*B59</f>
        <v>50</v>
      </c>
      <c r="C68" s="489" t="s">
        <v>101</v>
      </c>
      <c r="D68" s="492">
        <v>158.04</v>
      </c>
      <c r="E68" s="317">
        <v>1</v>
      </c>
      <c r="F68" s="318">
        <v>91246386</v>
      </c>
      <c r="G68" s="406">
        <f>IF(ISBLANK(F68),"-",(F68/$D$50*$D$47*$B$68)*($B$57/$D$68))</f>
        <v>125.70217893337365</v>
      </c>
      <c r="H68" s="321">
        <f t="shared" si="0"/>
        <v>1.0056174314669892</v>
      </c>
    </row>
    <row r="69" spans="1:8" ht="27" customHeight="1" x14ac:dyDescent="0.4">
      <c r="A69" s="307" t="s">
        <v>102</v>
      </c>
      <c r="B69" s="329">
        <f>(D47*B68)/B56*B57</f>
        <v>96.489360000000019</v>
      </c>
      <c r="C69" s="490"/>
      <c r="D69" s="493"/>
      <c r="E69" s="320">
        <v>2</v>
      </c>
      <c r="F69" s="272">
        <v>91525248</v>
      </c>
      <c r="G69" s="407">
        <f>IF(ISBLANK(F69),"-",(F69/$D$50*$D$47*$B$68)*($B$57/$D$68))</f>
        <v>126.08634276230292</v>
      </c>
      <c r="H69" s="321">
        <f t="shared" si="0"/>
        <v>1.0086907420984235</v>
      </c>
    </row>
    <row r="70" spans="1:8" ht="26.25" customHeight="1" x14ac:dyDescent="0.4">
      <c r="A70" s="495" t="s">
        <v>75</v>
      </c>
      <c r="B70" s="496"/>
      <c r="C70" s="490"/>
      <c r="D70" s="493"/>
      <c r="E70" s="320">
        <v>3</v>
      </c>
      <c r="F70" s="272">
        <v>90952850</v>
      </c>
      <c r="G70" s="407">
        <f>IF(ISBLANK(F70),"-",(F70/$D$50*$D$47*$B$68)*($B$57/$D$68))</f>
        <v>125.2978000158855</v>
      </c>
      <c r="H70" s="321">
        <f t="shared" si="0"/>
        <v>1.002382400127084</v>
      </c>
    </row>
    <row r="71" spans="1:8" ht="27" customHeight="1" x14ac:dyDescent="0.4">
      <c r="A71" s="497"/>
      <c r="B71" s="498"/>
      <c r="C71" s="491"/>
      <c r="D71" s="494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68</v>
      </c>
      <c r="G72" s="413">
        <f>AVERAGE(G60:G71)</f>
        <v>126.83400611289568</v>
      </c>
      <c r="H72" s="334">
        <f>AVERAGE(H60:H71)</f>
        <v>1.0146720489031655</v>
      </c>
    </row>
    <row r="73" spans="1:8" ht="26.25" customHeight="1" x14ac:dyDescent="0.4">
      <c r="C73" s="331"/>
      <c r="D73" s="331"/>
      <c r="E73" s="331"/>
      <c r="F73" s="335" t="s">
        <v>81</v>
      </c>
      <c r="G73" s="409">
        <f>STDEV(G60:G71)/G72</f>
        <v>1.1047698491325437E-2</v>
      </c>
      <c r="H73" s="409">
        <f>STDEV(H60:H71)/H72</f>
        <v>1.1047698491325388E-2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19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103</v>
      </c>
      <c r="B76" s="339" t="s">
        <v>104</v>
      </c>
      <c r="C76" s="476" t="str">
        <f>B20</f>
        <v>Amoxicillin Trihydrate &amp; Clavulanate Potassium</v>
      </c>
      <c r="D76" s="476"/>
      <c r="E76" s="340" t="s">
        <v>105</v>
      </c>
      <c r="F76" s="340"/>
      <c r="G76" s="341">
        <f>H72</f>
        <v>1.0146720489031655</v>
      </c>
      <c r="H76" s="342"/>
    </row>
    <row r="77" spans="1:8" ht="18.75" x14ac:dyDescent="0.3">
      <c r="A77" s="242" t="s">
        <v>106</v>
      </c>
      <c r="B77" s="242" t="s">
        <v>107</v>
      </c>
    </row>
    <row r="78" spans="1:8" ht="18.75" x14ac:dyDescent="0.3">
      <c r="A78" s="242"/>
      <c r="B78" s="242"/>
    </row>
    <row r="79" spans="1:8" ht="26.25" customHeight="1" x14ac:dyDescent="0.4">
      <c r="A79" s="243" t="s">
        <v>3</v>
      </c>
      <c r="B79" s="499" t="str">
        <f>B26</f>
        <v>Clavulanic lithium</v>
      </c>
      <c r="C79" s="499"/>
    </row>
    <row r="80" spans="1:8" ht="26.25" customHeight="1" x14ac:dyDescent="0.4">
      <c r="A80" s="244" t="s">
        <v>45</v>
      </c>
      <c r="B80" s="499" t="str">
        <f>B27</f>
        <v>WRS C64-2</v>
      </c>
      <c r="C80" s="499"/>
    </row>
    <row r="81" spans="1:12" ht="27" customHeight="1" x14ac:dyDescent="0.4">
      <c r="A81" s="244" t="s">
        <v>5</v>
      </c>
      <c r="B81" s="343">
        <f>B28</f>
        <v>96.96</v>
      </c>
    </row>
    <row r="82" spans="1:12" s="3" customFormat="1" ht="27" customHeight="1" x14ac:dyDescent="0.4">
      <c r="A82" s="244" t="s">
        <v>46</v>
      </c>
      <c r="B82" s="246">
        <v>0</v>
      </c>
      <c r="C82" s="478" t="s">
        <v>47</v>
      </c>
      <c r="D82" s="479"/>
      <c r="E82" s="479"/>
      <c r="F82" s="479"/>
      <c r="G82" s="480"/>
      <c r="I82" s="247"/>
      <c r="J82" s="247"/>
      <c r="K82" s="247"/>
      <c r="L82" s="247"/>
    </row>
    <row r="83" spans="1:12" s="3" customFormat="1" ht="19.5" customHeight="1" x14ac:dyDescent="0.3">
      <c r="A83" s="244" t="s">
        <v>48</v>
      </c>
      <c r="B83" s="248">
        <f>B81-B82</f>
        <v>96.96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49</v>
      </c>
      <c r="B84" s="251">
        <v>1</v>
      </c>
      <c r="C84" s="481" t="s">
        <v>108</v>
      </c>
      <c r="D84" s="482"/>
      <c r="E84" s="482"/>
      <c r="F84" s="482"/>
      <c r="G84" s="482"/>
      <c r="H84" s="483"/>
      <c r="I84" s="247"/>
      <c r="J84" s="247"/>
      <c r="K84" s="247"/>
      <c r="L84" s="247"/>
    </row>
    <row r="85" spans="1:12" s="3" customFormat="1" ht="27" customHeight="1" x14ac:dyDescent="0.4">
      <c r="A85" s="244" t="s">
        <v>51</v>
      </c>
      <c r="B85" s="251">
        <v>1</v>
      </c>
      <c r="C85" s="481" t="s">
        <v>109</v>
      </c>
      <c r="D85" s="482"/>
      <c r="E85" s="482"/>
      <c r="F85" s="482"/>
      <c r="G85" s="482"/>
      <c r="H85" s="483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53</v>
      </c>
      <c r="B87" s="256">
        <f>B84/B85</f>
        <v>1</v>
      </c>
      <c r="C87" s="234" t="s">
        <v>54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55</v>
      </c>
      <c r="B89" s="258">
        <v>10</v>
      </c>
      <c r="D89" s="344" t="s">
        <v>56</v>
      </c>
      <c r="E89" s="345"/>
      <c r="F89" s="484" t="s">
        <v>57</v>
      </c>
      <c r="G89" s="485"/>
    </row>
    <row r="90" spans="1:12" ht="27" customHeight="1" x14ac:dyDescent="0.4">
      <c r="A90" s="259" t="s">
        <v>58</v>
      </c>
      <c r="B90" s="260">
        <v>3</v>
      </c>
      <c r="C90" s="346" t="s">
        <v>59</v>
      </c>
      <c r="D90" s="262" t="s">
        <v>60</v>
      </c>
      <c r="E90" s="263" t="s">
        <v>61</v>
      </c>
      <c r="F90" s="262" t="s">
        <v>60</v>
      </c>
      <c r="G90" s="347" t="s">
        <v>61</v>
      </c>
      <c r="I90" s="265" t="s">
        <v>62</v>
      </c>
    </row>
    <row r="91" spans="1:12" ht="26.25" customHeight="1" x14ac:dyDescent="0.4">
      <c r="A91" s="259" t="s">
        <v>63</v>
      </c>
      <c r="B91" s="260">
        <v>25</v>
      </c>
      <c r="C91" s="348">
        <v>1</v>
      </c>
      <c r="D91" s="267">
        <v>30878649</v>
      </c>
      <c r="E91" s="268">
        <f>IF(ISBLANK(D91),"-",$D$101/$D$98*D91)</f>
        <v>38963755.114610307</v>
      </c>
      <c r="F91" s="267">
        <v>40793568</v>
      </c>
      <c r="G91" s="269">
        <f>IF(ISBLANK(F91),"-",$D$101/$F$98*F91)</f>
        <v>38924947.317540184</v>
      </c>
      <c r="I91" s="270"/>
    </row>
    <row r="92" spans="1:12" ht="26.25" customHeight="1" x14ac:dyDescent="0.4">
      <c r="A92" s="259" t="s">
        <v>64</v>
      </c>
      <c r="B92" s="260">
        <v>1</v>
      </c>
      <c r="C92" s="332">
        <v>2</v>
      </c>
      <c r="D92" s="272">
        <v>30342598</v>
      </c>
      <c r="E92" s="273">
        <f>IF(ISBLANK(D92),"-",$D$101/$D$98*D92)</f>
        <v>38287347.286892779</v>
      </c>
      <c r="F92" s="272">
        <v>39865613</v>
      </c>
      <c r="G92" s="274">
        <f>IF(ISBLANK(F92),"-",$D$101/$F$98*F92)</f>
        <v>38039498.918222725</v>
      </c>
      <c r="I92" s="486">
        <f>ABS((F96/D96*D95)-F95)/D95</f>
        <v>4.1045051583482577E-3</v>
      </c>
    </row>
    <row r="93" spans="1:12" ht="26.25" customHeight="1" x14ac:dyDescent="0.4">
      <c r="A93" s="259" t="s">
        <v>65</v>
      </c>
      <c r="B93" s="260">
        <v>1</v>
      </c>
      <c r="C93" s="332">
        <v>3</v>
      </c>
      <c r="D93" s="272">
        <v>30385200</v>
      </c>
      <c r="E93" s="273">
        <f>IF(ISBLANK(D93),"-",$D$101/$D$98*D93)</f>
        <v>38341103.974738561</v>
      </c>
      <c r="F93" s="272">
        <v>40106115</v>
      </c>
      <c r="G93" s="274">
        <f>IF(ISBLANK(F93),"-",$D$101/$F$98*F93)</f>
        <v>38268984.303756125</v>
      </c>
      <c r="I93" s="486"/>
    </row>
    <row r="94" spans="1:12" ht="27" customHeight="1" x14ac:dyDescent="0.4">
      <c r="A94" s="259" t="s">
        <v>66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67</v>
      </c>
      <c r="B95" s="260">
        <v>1</v>
      </c>
      <c r="C95" s="351" t="s">
        <v>68</v>
      </c>
      <c r="D95" s="352">
        <f>AVERAGE(D91:D94)</f>
        <v>30535482.333333332</v>
      </c>
      <c r="E95" s="283">
        <f>AVERAGE(E91:E94)</f>
        <v>38530735.458747216</v>
      </c>
      <c r="F95" s="353">
        <f>AVERAGE(F91:F94)</f>
        <v>40255098.666666664</v>
      </c>
      <c r="G95" s="354">
        <f>AVERAGE(G91:G94)</f>
        <v>38411143.513173014</v>
      </c>
    </row>
    <row r="96" spans="1:12" ht="26.25" customHeight="1" x14ac:dyDescent="0.4">
      <c r="A96" s="259" t="s">
        <v>69</v>
      </c>
      <c r="B96" s="245">
        <v>1</v>
      </c>
      <c r="C96" s="355" t="s">
        <v>110</v>
      </c>
      <c r="D96" s="356">
        <v>9.4600000000000009</v>
      </c>
      <c r="E96" s="275"/>
      <c r="F96" s="287">
        <v>12.51</v>
      </c>
    </row>
    <row r="97" spans="1:10" ht="26.25" customHeight="1" x14ac:dyDescent="0.4">
      <c r="A97" s="259" t="s">
        <v>71</v>
      </c>
      <c r="B97" s="245">
        <v>1</v>
      </c>
      <c r="C97" s="357" t="s">
        <v>111</v>
      </c>
      <c r="D97" s="358">
        <f>D96*$B$87</f>
        <v>9.4600000000000009</v>
      </c>
      <c r="E97" s="290"/>
      <c r="F97" s="289">
        <f>F96*$B$87</f>
        <v>12.51</v>
      </c>
    </row>
    <row r="98" spans="1:10" ht="19.5" customHeight="1" x14ac:dyDescent="0.3">
      <c r="A98" s="259" t="s">
        <v>73</v>
      </c>
      <c r="B98" s="359">
        <f>(B97/B96)*(B95/B94)*(B93/B92)*(B91/B90)*B89</f>
        <v>83.333333333333343</v>
      </c>
      <c r="C98" s="357" t="s">
        <v>112</v>
      </c>
      <c r="D98" s="360">
        <f>D97*$B$83/100</f>
        <v>9.1724160000000001</v>
      </c>
      <c r="E98" s="293"/>
      <c r="F98" s="292">
        <f>F97*$B$83/100</f>
        <v>12.129695999999999</v>
      </c>
    </row>
    <row r="99" spans="1:10" ht="19.5" customHeight="1" x14ac:dyDescent="0.3">
      <c r="A99" s="472" t="s">
        <v>75</v>
      </c>
      <c r="B99" s="487"/>
      <c r="C99" s="357" t="s">
        <v>113</v>
      </c>
      <c r="D99" s="361">
        <f>D98/$B$98</f>
        <v>0.11006899199999999</v>
      </c>
      <c r="E99" s="293"/>
      <c r="F99" s="296">
        <f>F98/$B$98</f>
        <v>0.14555635199999997</v>
      </c>
      <c r="G99" s="362"/>
      <c r="H99" s="285"/>
    </row>
    <row r="100" spans="1:10" ht="19.5" customHeight="1" x14ac:dyDescent="0.3">
      <c r="A100" s="474"/>
      <c r="B100" s="488"/>
      <c r="C100" s="357" t="s">
        <v>77</v>
      </c>
      <c r="D100" s="363">
        <f>$B$56/$B$116</f>
        <v>0.1388888888888889</v>
      </c>
      <c r="F100" s="301"/>
      <c r="G100" s="364"/>
      <c r="H100" s="285"/>
    </row>
    <row r="101" spans="1:10" ht="18.75" x14ac:dyDescent="0.3">
      <c r="C101" s="357" t="s">
        <v>78</v>
      </c>
      <c r="D101" s="358">
        <f>D100*$B$98</f>
        <v>11.574074074074076</v>
      </c>
      <c r="F101" s="301"/>
      <c r="G101" s="362"/>
      <c r="H101" s="285"/>
    </row>
    <row r="102" spans="1:10" ht="19.5" customHeight="1" x14ac:dyDescent="0.3">
      <c r="C102" s="365" t="s">
        <v>79</v>
      </c>
      <c r="D102" s="366">
        <f>D101/B34</f>
        <v>11.574074074074076</v>
      </c>
      <c r="F102" s="305"/>
      <c r="G102" s="362"/>
      <c r="H102" s="285"/>
      <c r="J102" s="367"/>
    </row>
    <row r="103" spans="1:10" ht="18.75" x14ac:dyDescent="0.3">
      <c r="C103" s="368" t="s">
        <v>114</v>
      </c>
      <c r="D103" s="369">
        <f>AVERAGE(E91:E94,G91:G94)</f>
        <v>38470939.485960118</v>
      </c>
      <c r="F103" s="305"/>
      <c r="G103" s="370"/>
      <c r="H103" s="285"/>
      <c r="J103" s="371"/>
    </row>
    <row r="104" spans="1:10" ht="18.75" x14ac:dyDescent="0.3">
      <c r="C104" s="335" t="s">
        <v>81</v>
      </c>
      <c r="D104" s="372">
        <f>STDEV(E91:E94,G91:G94)/D103</f>
        <v>9.9081872892231339E-3</v>
      </c>
      <c r="F104" s="305"/>
      <c r="G104" s="362"/>
      <c r="H104" s="285"/>
      <c r="J104" s="371"/>
    </row>
    <row r="105" spans="1:10" ht="19.5" customHeight="1" x14ac:dyDescent="0.3">
      <c r="C105" s="337" t="s">
        <v>19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115</v>
      </c>
      <c r="B107" s="258">
        <v>900</v>
      </c>
      <c r="C107" s="374" t="s">
        <v>116</v>
      </c>
      <c r="D107" s="375" t="s">
        <v>60</v>
      </c>
      <c r="E107" s="376" t="s">
        <v>117</v>
      </c>
      <c r="F107" s="377" t="s">
        <v>118</v>
      </c>
    </row>
    <row r="108" spans="1:10" ht="26.25" customHeight="1" x14ac:dyDescent="0.4">
      <c r="A108" s="259" t="s">
        <v>119</v>
      </c>
      <c r="B108" s="260">
        <v>1</v>
      </c>
      <c r="C108" s="378">
        <v>1</v>
      </c>
      <c r="D108" s="379">
        <v>40890557</v>
      </c>
      <c r="E108" s="410">
        <f t="shared" ref="E108:E113" si="1">IF(ISBLANK(D108),"-",D108/$D$103*$D$100*$B$116)</f>
        <v>132.86183527868781</v>
      </c>
      <c r="F108" s="380">
        <f t="shared" ref="F108:F113" si="2">IF(ISBLANK(D108), "-", E108/$B$56)</f>
        <v>1.0628946822295025</v>
      </c>
    </row>
    <row r="109" spans="1:10" ht="26.25" customHeight="1" x14ac:dyDescent="0.4">
      <c r="A109" s="259" t="s">
        <v>92</v>
      </c>
      <c r="B109" s="260">
        <v>1</v>
      </c>
      <c r="C109" s="378">
        <v>2</v>
      </c>
      <c r="D109" s="379">
        <v>41092476</v>
      </c>
      <c r="E109" s="411">
        <f t="shared" si="1"/>
        <v>133.51791166614419</v>
      </c>
      <c r="F109" s="381">
        <f t="shared" si="2"/>
        <v>1.0681432933291535</v>
      </c>
    </row>
    <row r="110" spans="1:10" ht="26.25" customHeight="1" x14ac:dyDescent="0.4">
      <c r="A110" s="259" t="s">
        <v>93</v>
      </c>
      <c r="B110" s="260">
        <v>1</v>
      </c>
      <c r="C110" s="378">
        <v>3</v>
      </c>
      <c r="D110" s="379">
        <v>40574249</v>
      </c>
      <c r="E110" s="411">
        <f t="shared" si="1"/>
        <v>131.8340854881107</v>
      </c>
      <c r="F110" s="381">
        <f t="shared" si="2"/>
        <v>1.0546726839048857</v>
      </c>
    </row>
    <row r="111" spans="1:10" ht="26.25" customHeight="1" x14ac:dyDescent="0.4">
      <c r="A111" s="259" t="s">
        <v>94</v>
      </c>
      <c r="B111" s="260">
        <v>1</v>
      </c>
      <c r="C111" s="378">
        <v>4</v>
      </c>
      <c r="D111" s="379">
        <v>40791567</v>
      </c>
      <c r="E111" s="411">
        <f t="shared" si="1"/>
        <v>132.54019639579761</v>
      </c>
      <c r="F111" s="381">
        <f t="shared" si="2"/>
        <v>1.0603215711663809</v>
      </c>
    </row>
    <row r="112" spans="1:10" ht="26.25" customHeight="1" x14ac:dyDescent="0.4">
      <c r="A112" s="259" t="s">
        <v>95</v>
      </c>
      <c r="B112" s="260">
        <v>1</v>
      </c>
      <c r="C112" s="378">
        <v>5</v>
      </c>
      <c r="D112" s="379">
        <v>40749921</v>
      </c>
      <c r="E112" s="411">
        <f t="shared" si="1"/>
        <v>132.40487997073606</v>
      </c>
      <c r="F112" s="381">
        <f t="shared" si="2"/>
        <v>1.0592390397658884</v>
      </c>
    </row>
    <row r="113" spans="1:10" ht="26.25" customHeight="1" x14ac:dyDescent="0.4">
      <c r="A113" s="259" t="s">
        <v>97</v>
      </c>
      <c r="B113" s="260">
        <v>1</v>
      </c>
      <c r="C113" s="382">
        <v>6</v>
      </c>
      <c r="D113" s="383">
        <v>41355964</v>
      </c>
      <c r="E113" s="412">
        <f t="shared" si="1"/>
        <v>134.37403840596605</v>
      </c>
      <c r="F113" s="384">
        <f t="shared" si="2"/>
        <v>1.0749923072477283</v>
      </c>
    </row>
    <row r="114" spans="1:10" ht="26.25" customHeight="1" x14ac:dyDescent="0.4">
      <c r="A114" s="259" t="s">
        <v>98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99</v>
      </c>
      <c r="B115" s="260">
        <v>1</v>
      </c>
      <c r="C115" s="378"/>
      <c r="D115" s="386" t="s">
        <v>68</v>
      </c>
      <c r="E115" s="414">
        <f>AVERAGE(E108:E113)</f>
        <v>132.92215786757373</v>
      </c>
      <c r="F115" s="387">
        <f>AVERAGE(F108:F113)</f>
        <v>1.06337726294059</v>
      </c>
    </row>
    <row r="116" spans="1:10" ht="27" customHeight="1" x14ac:dyDescent="0.4">
      <c r="A116" s="259" t="s">
        <v>100</v>
      </c>
      <c r="B116" s="291">
        <f>(B115/B114)*(B113/B112)*(B111/B110)*(B109/B108)*B107</f>
        <v>900</v>
      </c>
      <c r="C116" s="388"/>
      <c r="D116" s="351" t="s">
        <v>81</v>
      </c>
      <c r="E116" s="389">
        <f>STDEV(E108:E113)/E115</f>
        <v>6.7824818440878794E-3</v>
      </c>
      <c r="F116" s="389">
        <f>STDEV(F108:F113)/F115</f>
        <v>6.7824818440878525E-3</v>
      </c>
      <c r="I116" s="233"/>
    </row>
    <row r="117" spans="1:10" ht="27" customHeight="1" x14ac:dyDescent="0.4">
      <c r="A117" s="472" t="s">
        <v>75</v>
      </c>
      <c r="B117" s="473"/>
      <c r="C117" s="390"/>
      <c r="D117" s="391" t="s">
        <v>19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74"/>
      <c r="B118" s="475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103</v>
      </c>
      <c r="B120" s="339" t="s">
        <v>120</v>
      </c>
      <c r="C120" s="476" t="str">
        <f>B20</f>
        <v>Amoxicillin Trihydrate &amp; Clavulanate Potassium</v>
      </c>
      <c r="D120" s="476"/>
      <c r="E120" s="340" t="s">
        <v>121</v>
      </c>
      <c r="F120" s="340"/>
      <c r="G120" s="341">
        <f>F115</f>
        <v>1.06337726294059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77" t="s">
        <v>23</v>
      </c>
      <c r="C122" s="477"/>
      <c r="E122" s="346" t="s">
        <v>24</v>
      </c>
      <c r="F122" s="395"/>
      <c r="G122" s="477" t="s">
        <v>25</v>
      </c>
      <c r="H122" s="477"/>
    </row>
    <row r="123" spans="1:10" ht="69.95" customHeight="1" x14ac:dyDescent="0.3">
      <c r="A123" s="396" t="s">
        <v>26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27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Uniformity</vt:lpstr>
      <vt:lpstr>SST</vt:lpstr>
      <vt:lpstr>amoxicillin Trihydrate</vt:lpstr>
      <vt:lpstr>Clavulanic acid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2016-06-28T12:26:05Z</cp:lastPrinted>
  <dcterms:created xsi:type="dcterms:W3CDTF">2005-07-05T10:19:27Z</dcterms:created>
  <dcterms:modified xsi:type="dcterms:W3CDTF">2016-09-06T11:22:47Z</dcterms:modified>
  <cp:category/>
</cp:coreProperties>
</file>