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6" yWindow="528" windowWidth="15012" windowHeight="7620" activeTab="2"/>
  </bookViews>
  <sheets>
    <sheet name="SST" sheetId="1" r:id="rId1"/>
    <sheet name="Uniformity" sheetId="2" r:id="rId2"/>
    <sheet name="CEFIXIME" sheetId="3" r:id="rId3"/>
  </sheets>
  <definedNames>
    <definedName name="_xlnm.Print_Area" localSheetId="2">CEFIXIME!$A$1:$H$124</definedName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C120" i="3" l="1"/>
  <c r="F116" i="3"/>
  <c r="F115" i="3"/>
  <c r="H72" i="3"/>
  <c r="B21" i="1"/>
  <c r="D51" i="3"/>
  <c r="B116" i="3" l="1"/>
  <c r="D100" i="3" s="1"/>
  <c r="B98" i="3"/>
  <c r="D97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D49" i="2"/>
  <c r="C46" i="2"/>
  <c r="D50" i="2" s="1"/>
  <c r="C45" i="2"/>
  <c r="D40" i="2"/>
  <c r="D36" i="2"/>
  <c r="D32" i="2"/>
  <c r="D28" i="2"/>
  <c r="D25" i="2"/>
  <c r="D24" i="2"/>
  <c r="C19" i="2"/>
  <c r="B32" i="1"/>
  <c r="E30" i="1"/>
  <c r="D30" i="1"/>
  <c r="C30" i="1"/>
  <c r="B30" i="1"/>
  <c r="B31" i="1" s="1"/>
  <c r="D45" i="3" l="1"/>
  <c r="E40" i="3" s="1"/>
  <c r="D101" i="3"/>
  <c r="D102" i="3" s="1"/>
  <c r="I92" i="3"/>
  <c r="I39" i="3"/>
  <c r="D46" i="3"/>
  <c r="D98" i="3"/>
  <c r="D99" i="3" s="1"/>
  <c r="D49" i="3"/>
  <c r="E41" i="3"/>
  <c r="E39" i="3"/>
  <c r="F98" i="3"/>
  <c r="F99" i="3" s="1"/>
  <c r="D27" i="2"/>
  <c r="D31" i="2"/>
  <c r="D35" i="2"/>
  <c r="D39" i="2"/>
  <c r="D43" i="2"/>
  <c r="C49" i="2"/>
  <c r="F44" i="3"/>
  <c r="F45" i="3" s="1"/>
  <c r="F46" i="3" s="1"/>
  <c r="B57" i="3"/>
  <c r="B69" i="3" s="1"/>
  <c r="D29" i="2"/>
  <c r="D33" i="2"/>
  <c r="D37" i="2"/>
  <c r="D41" i="2"/>
  <c r="C50" i="2"/>
  <c r="D26" i="2"/>
  <c r="D30" i="2"/>
  <c r="D34" i="2"/>
  <c r="D38" i="2"/>
  <c r="D42" i="2"/>
  <c r="B49" i="2"/>
  <c r="E38" i="3" l="1"/>
  <c r="E42" i="3" s="1"/>
  <c r="E93" i="3"/>
  <c r="E94" i="3"/>
  <c r="E91" i="3"/>
  <c r="E92" i="3"/>
  <c r="G41" i="3"/>
  <c r="G93" i="3"/>
  <c r="G94" i="3"/>
  <c r="G40" i="3"/>
  <c r="G92" i="3"/>
  <c r="G91" i="3"/>
  <c r="G39" i="3"/>
  <c r="G38" i="3"/>
  <c r="D50" i="3" l="1"/>
  <c r="G68" i="3" s="1"/>
  <c r="H68" i="3" s="1"/>
  <c r="G95" i="3"/>
  <c r="G42" i="3"/>
  <c r="D52" i="3"/>
  <c r="E95" i="3"/>
  <c r="D105" i="3"/>
  <c r="D103" i="3"/>
  <c r="G64" i="3" l="1"/>
  <c r="H64" i="3" s="1"/>
  <c r="G69" i="3"/>
  <c r="H69" i="3" s="1"/>
  <c r="G65" i="3"/>
  <c r="H65" i="3" s="1"/>
  <c r="G67" i="3"/>
  <c r="H67" i="3" s="1"/>
  <c r="G60" i="3"/>
  <c r="H60" i="3" s="1"/>
  <c r="G63" i="3"/>
  <c r="H63" i="3" s="1"/>
  <c r="G62" i="3"/>
  <c r="H62" i="3" s="1"/>
  <c r="G71" i="3"/>
  <c r="H71" i="3" s="1"/>
  <c r="G61" i="3"/>
  <c r="H61" i="3" s="1"/>
  <c r="G70" i="3"/>
  <c r="H70" i="3" s="1"/>
  <c r="G66" i="3"/>
  <c r="H66" i="3" s="1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G72" i="3" l="1"/>
  <c r="G73" i="3" s="1"/>
  <c r="G74" i="3"/>
  <c r="E115" i="3"/>
  <c r="E116" i="3" s="1"/>
  <c r="E117" i="3"/>
  <c r="F108" i="3"/>
  <c r="H74" i="3"/>
  <c r="F117" i="3" l="1"/>
  <c r="G76" i="3"/>
  <c r="H73" i="3"/>
  <c r="G120" i="3" l="1"/>
</calcChain>
</file>

<file path=xl/sharedStrings.xml><?xml version="1.0" encoding="utf-8"?>
<sst xmlns="http://schemas.openxmlformats.org/spreadsheetml/2006/main" count="213" uniqueCount="128">
  <si>
    <t>HPLC System Suitability Report</t>
  </si>
  <si>
    <t>Analysis Data</t>
  </si>
  <si>
    <t>Assay</t>
  </si>
  <si>
    <t>Sample(s)</t>
  </si>
  <si>
    <t>Reference Substance:</t>
  </si>
  <si>
    <t>MYDAWA CEFIXIME 400 MG TABLETS</t>
  </si>
  <si>
    <t>% age Purity:</t>
  </si>
  <si>
    <t>NDQD2016061224</t>
  </si>
  <si>
    <t>Weight (mg):</t>
  </si>
  <si>
    <t xml:space="preserve">Cefixime trihydrate USP </t>
  </si>
  <si>
    <t>Standard Conc (mg/mL):</t>
  </si>
  <si>
    <t>Each tablet contains cefixime trihydrate 400 mg</t>
  </si>
  <si>
    <t>2016-06-23 15:43:46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</si>
  <si>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</si>
  <si>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</si>
  <si>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</si>
  <si>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</si>
  <si>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</si>
  <si>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</si>
  <si>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</si>
  <si>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</si>
  <si>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</si>
  <si>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</si>
  <si>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</si>
  <si>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</si>
  <si>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</si>
  <si>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</si>
  <si>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</si>
  <si>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</si>
  <si>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</si>
  <si>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</si>
  <si>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</si>
  <si>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</si>
  <si>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</si>
  <si>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</si>
  <si>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</si>
  <si>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</si>
  <si>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</si>
  <si>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</si>
  <si>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</si>
  <si>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</si>
  <si>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</si>
  <si>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</si>
  <si>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</si>
  <si>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</si>
  <si>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</si>
  <si>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</si>
  <si>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</si>
  <si>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</si>
  <si>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</si>
  <si>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</si>
  <si>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</si>
  <si>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</si>
  <si>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</si>
  <si>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</si>
  <si>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</si>
  <si>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</si>
  <si>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</si>
  <si>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</si>
  <si>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</si>
  <si>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</si>
  <si>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</si>
  <si>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</si>
  <si>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</si>
  <si>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</si>
  <si>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</si>
  <si>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</si>
  <si>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</si>
  <si>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</si>
  <si>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</si>
  <si>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</si>
  <si>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</si>
  <si>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</si>
  <si>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</si>
  <si>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</si>
  <si>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</si>
  <si>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</si>
  <si>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</si>
  <si>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</si>
  <si>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</si>
  <si>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</si>
  <si>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</si>
  <si>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</si>
  <si>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</si>
  <si>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</si>
  <si>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</si>
  <si>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</si>
  <si>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</si>
  <si>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</si>
  <si>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</si>
  <si>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</si>
  <si>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</si>
  <si>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</si>
  <si>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</si>
  <si>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</si>
  <si>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</si>
  <si>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</si>
  <si>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</si>
  <si>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</si>
  <si>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</si>
  <si>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</si>
  <si>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</si>
  <si>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</si>
  <si>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</si>
  <si>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</si>
  <si>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</si>
  <si>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</si>
  <si>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</si>
  <si>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</si>
  <si>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</si>
  <si>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</si>
  <si>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</si>
  <si>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</si>
  <si>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</si>
  <si>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</si>
  <si>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</si>
  <si>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</si>
  <si>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</si>
  <si>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</si>
  <si>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Cefixime</t>
  </si>
  <si>
    <t>C49-1</t>
  </si>
  <si>
    <t xml:space="preserve">Cefixime trihydrate </t>
  </si>
  <si>
    <t>MYDAWA CEFIXIME 400 mg TABLETS</t>
  </si>
  <si>
    <t>Average Tablet Weight (mg):</t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</si>
  <si>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4000</t>
    </r>
  </si>
  <si>
    <r>
      <t xml:space="preserve">The Assymetry of all peaks is NLT 0.9 and NMT </t>
    </r>
    <r>
      <rPr>
        <b/>
        <sz val="12"/>
        <color rgb="FF000000"/>
        <rFont val="Book Antiqua"/>
        <family val="1"/>
      </rPr>
      <t>2.0</t>
    </r>
  </si>
  <si>
    <t>Determination</t>
  </si>
  <si>
    <t>Tablet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</si>
</sst>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"/>
  </numFmts>
  <fonts count="24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43" xfId="0" applyFont="1" applyFill="1" applyBorder="1"/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6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0" fontId="6" fillId="0" borderId="0" xfId="0" applyFont="1" applyFill="1" applyBorder="1"/>
    <xf numFmtId="2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 applyProtection="1">
      <alignment horizontal="center"/>
      <protection locked="0"/>
    </xf>
    <xf numFmtId="2" fontId="7" fillId="0" borderId="0" xfId="0" applyNumberFormat="1" applyFont="1" applyFill="1" applyBorder="1" applyAlignment="1" applyProtection="1">
      <alignment horizontal="center"/>
      <protection locked="0"/>
    </xf>
    <xf numFmtId="1" fontId="5" fillId="0" borderId="0" xfId="0" applyNumberFormat="1" applyFont="1" applyFill="1" applyBorder="1" applyAlignment="1">
      <alignment horizontal="center"/>
    </xf>
    <xf numFmtId="10" fontId="5" fillId="0" borderId="0" xfId="0" applyNumberFormat="1" applyFont="1" applyFill="1" applyBorder="1" applyAlignment="1">
      <alignment horizontal="center"/>
    </xf>
    <xf numFmtId="165" fontId="5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 applyProtection="1">
      <alignment horizontal="left"/>
      <protection locked="0"/>
    </xf>
    <xf numFmtId="0" fontId="6" fillId="0" borderId="0" xfId="0" applyFont="1" applyFill="1" applyBorder="1" applyProtection="1">
      <protection locked="0"/>
    </xf>
    <xf numFmtId="0" fontId="2" fillId="0" borderId="0" xfId="0" applyFont="1" applyFill="1" applyBorder="1" applyAlignment="1">
      <alignment horizontal="center"/>
    </xf>
    <xf numFmtId="10" fontId="2" fillId="0" borderId="0" xfId="0" applyNumberFormat="1" applyFont="1" applyFill="1" applyBorder="1"/>
    <xf numFmtId="0" fontId="0" fillId="0" borderId="0" xfId="0" applyFill="1" applyBorder="1"/>
    <xf numFmtId="0" fontId="3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7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173" fontId="7" fillId="3" borderId="3" xfId="0" applyNumberFormat="1" applyFont="1" applyFill="1" applyBorder="1" applyAlignment="1" applyProtection="1">
      <alignment horizontal="center"/>
      <protection locked="0"/>
    </xf>
    <xf numFmtId="173" fontId="7" fillId="3" borderId="4" xfId="0" applyNumberFormat="1" applyFont="1" applyFill="1" applyBorder="1" applyAlignment="1" applyProtection="1">
      <alignment horizontal="center"/>
      <protection locked="0"/>
    </xf>
    <xf numFmtId="173" fontId="7" fillId="3" borderId="5" xfId="0" applyNumberFormat="1" applyFont="1" applyFill="1" applyBorder="1" applyAlignment="1" applyProtection="1">
      <alignment horizontal="center"/>
      <protection locked="0"/>
    </xf>
    <xf numFmtId="2" fontId="11" fillId="2" borderId="26" xfId="0" applyNumberFormat="1" applyFont="1" applyFill="1" applyBorder="1" applyAlignment="1">
      <alignment horizontal="center"/>
    </xf>
    <xf numFmtId="2" fontId="11" fillId="2" borderId="31" xfId="0" applyNumberFormat="1" applyFont="1" applyFill="1" applyBorder="1" applyAlignment="1">
      <alignment horizontal="center"/>
    </xf>
    <xf numFmtId="2" fontId="11" fillId="2" borderId="35" xfId="0" applyNumberFormat="1" applyFont="1" applyFill="1" applyBorder="1" applyAlignment="1">
      <alignment horizontal="center"/>
    </xf>
    <xf numFmtId="166" fontId="13" fillId="3" borderId="29" xfId="0" applyNumberFormat="1" applyFont="1" applyFill="1" applyBorder="1" applyAlignment="1" applyProtection="1">
      <alignment horizontal="center"/>
      <protection locked="0"/>
    </xf>
    <xf numFmtId="166" fontId="11" fillId="2" borderId="30" xfId="0" applyNumberFormat="1" applyFont="1" applyFill="1" applyBorder="1" applyAlignment="1">
      <alignment horizontal="center"/>
    </xf>
    <xf numFmtId="166" fontId="13" fillId="3" borderId="23" xfId="0" applyNumberFormat="1" applyFont="1" applyFill="1" applyBorder="1" applyAlignment="1" applyProtection="1">
      <alignment horizontal="center"/>
      <protection locked="0"/>
    </xf>
    <xf numFmtId="166" fontId="11" fillId="2" borderId="32" xfId="0" applyNumberFormat="1" applyFont="1" applyFill="1" applyBorder="1" applyAlignment="1">
      <alignment horizontal="center"/>
    </xf>
    <xf numFmtId="166" fontId="13" fillId="3" borderId="34" xfId="0" applyNumberFormat="1" applyFont="1" applyFill="1" applyBorder="1" applyAlignment="1" applyProtection="1">
      <alignment horizontal="center"/>
      <protection locked="0"/>
    </xf>
    <xf numFmtId="166" fontId="11" fillId="2" borderId="36" xfId="0" applyNumberFormat="1" applyFont="1" applyFill="1" applyBorder="1" applyAlignment="1">
      <alignment horizontal="center"/>
    </xf>
    <xf numFmtId="166" fontId="12" fillId="6" borderId="49" xfId="0" applyNumberFormat="1" applyFont="1" applyFill="1" applyBorder="1" applyAlignment="1">
      <alignment horizontal="center"/>
    </xf>
    <xf numFmtId="166" fontId="12" fillId="6" borderId="38" xfId="0" applyNumberFormat="1" applyFont="1" applyFill="1" applyBorder="1" applyAlignment="1">
      <alignment horizontal="center"/>
    </xf>
    <xf numFmtId="166" fontId="12" fillId="6" borderId="50" xfId="0" applyNumberFormat="1" applyFont="1" applyFill="1" applyBorder="1" applyAlignment="1">
      <alignment horizontal="center"/>
    </xf>
    <xf numFmtId="166" fontId="12" fillId="6" borderId="15" xfId="0" applyNumberFormat="1" applyFont="1" applyFill="1" applyBorder="1" applyAlignment="1">
      <alignment horizontal="center"/>
    </xf>
    <xf numFmtId="166" fontId="13" fillId="3" borderId="31" xfId="0" applyNumberFormat="1" applyFont="1" applyFill="1" applyBorder="1" applyAlignment="1" applyProtection="1">
      <alignment horizontal="center"/>
      <protection locked="0"/>
    </xf>
    <xf numFmtId="166" fontId="13" fillId="3" borderId="35" xfId="0" applyNumberFormat="1" applyFont="1" applyFill="1" applyBorder="1" applyAlignment="1" applyProtection="1">
      <alignment horizontal="center"/>
      <protection locked="0"/>
    </xf>
    <xf numFmtId="2" fontId="13" fillId="7" borderId="62" xfId="0" applyNumberFormat="1" applyFont="1" applyFill="1" applyBorder="1" applyAlignment="1">
      <alignment horizontal="center"/>
    </xf>
    <xf numFmtId="10" fontId="13" fillId="6" borderId="62" xfId="0" applyNumberFormat="1" applyFont="1" applyFill="1" applyBorder="1" applyAlignment="1">
      <alignment horizontal="center"/>
    </xf>
    <xf numFmtId="0" fontId="13" fillId="7" borderId="61" xfId="0" applyFont="1" applyFill="1" applyBorder="1" applyAlignment="1">
      <alignment horizontal="center"/>
    </xf>
    <xf numFmtId="171" fontId="11" fillId="2" borderId="59" xfId="0" applyNumberFormat="1" applyFont="1" applyFill="1" applyBorder="1" applyAlignment="1">
      <alignment horizontal="center"/>
    </xf>
    <xf numFmtId="0" fontId="11" fillId="2" borderId="60" xfId="0" applyFont="1" applyFill="1" applyBorder="1" applyAlignment="1">
      <alignment horizontal="center"/>
    </xf>
    <xf numFmtId="0" fontId="11" fillId="2" borderId="58" xfId="0" applyFont="1" applyFill="1" applyBorder="1" applyAlignment="1">
      <alignment horizontal="center"/>
    </xf>
    <xf numFmtId="166" fontId="12" fillId="7" borderId="16" xfId="0" applyNumberFormat="1" applyFont="1" applyFill="1" applyBorder="1" applyAlignment="1">
      <alignment horizontal="center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20" workbookViewId="0">
      <selection activeCell="B37" sqref="B37"/>
    </sheetView>
  </sheetViews>
  <sheetFormatPr defaultRowHeight="13.8" x14ac:dyDescent="0.3"/>
  <cols>
    <col min="1" max="1" width="27.5546875" style="4" customWidth="1"/>
    <col min="2" max="2" width="20.44140625" style="4" customWidth="1"/>
    <col min="3" max="3" width="31.88671875" style="4" customWidth="1"/>
    <col min="4" max="4" width="25.88671875" style="4" customWidth="1"/>
    <col min="5" max="5" width="25.6640625" style="4" customWidth="1"/>
    <col min="6" max="6" width="23.109375" style="4" customWidth="1"/>
    <col min="7" max="7" width="28.44140625" style="4" customWidth="1"/>
    <col min="8" max="8" width="21.5546875" style="4" customWidth="1"/>
    <col min="9" max="9" width="9.10937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5">
      <c r="A15" s="283" t="s">
        <v>0</v>
      </c>
      <c r="B15" s="283"/>
      <c r="C15" s="283"/>
      <c r="D15" s="283"/>
      <c r="E15" s="283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122</v>
      </c>
      <c r="D17" s="9"/>
      <c r="E17" s="10"/>
    </row>
    <row r="18" spans="1:6" ht="16.5" customHeight="1" x14ac:dyDescent="0.3">
      <c r="A18" s="11" t="s">
        <v>4</v>
      </c>
      <c r="B18" s="8" t="s">
        <v>121</v>
      </c>
      <c r="C18" s="10"/>
      <c r="D18" s="10"/>
      <c r="E18" s="10"/>
    </row>
    <row r="19" spans="1:6" ht="16.5" customHeight="1" x14ac:dyDescent="0.3">
      <c r="A19" s="11" t="s">
        <v>6</v>
      </c>
      <c r="B19" s="12">
        <v>89.825999999999993</v>
      </c>
      <c r="C19" s="10"/>
      <c r="D19" s="10"/>
      <c r="E19" s="10"/>
    </row>
    <row r="20" spans="1:6" ht="16.5" customHeight="1" x14ac:dyDescent="0.3">
      <c r="A20" s="7" t="s">
        <v>8</v>
      </c>
      <c r="B20" s="12">
        <v>19.739999999999998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B20/100</f>
        <v>0.19739999999999999</v>
      </c>
      <c r="C21" s="10"/>
      <c r="D21" s="10"/>
      <c r="E21" s="10"/>
    </row>
    <row r="22" spans="1:6" ht="15.75" customHeight="1" x14ac:dyDescent="0.3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138980388</v>
      </c>
      <c r="C24" s="18">
        <v>6941.5</v>
      </c>
      <c r="D24" s="332">
        <v>1.2</v>
      </c>
      <c r="E24" s="333">
        <v>7.2</v>
      </c>
    </row>
    <row r="25" spans="1:6" ht="16.5" customHeight="1" x14ac:dyDescent="0.3">
      <c r="A25" s="17">
        <v>2</v>
      </c>
      <c r="B25" s="18">
        <v>138932860</v>
      </c>
      <c r="C25" s="18">
        <v>6991.7</v>
      </c>
      <c r="D25" s="332">
        <v>1.2</v>
      </c>
      <c r="E25" s="332">
        <v>7.3</v>
      </c>
    </row>
    <row r="26" spans="1:6" ht="16.5" customHeight="1" x14ac:dyDescent="0.3">
      <c r="A26" s="17">
        <v>3</v>
      </c>
      <c r="B26" s="18">
        <v>138936987</v>
      </c>
      <c r="C26" s="18">
        <v>6957.6</v>
      </c>
      <c r="D26" s="332">
        <v>1.2</v>
      </c>
      <c r="E26" s="332">
        <v>7.3</v>
      </c>
    </row>
    <row r="27" spans="1:6" ht="16.5" customHeight="1" x14ac:dyDescent="0.3">
      <c r="A27" s="17">
        <v>4</v>
      </c>
      <c r="B27" s="18">
        <v>139288828</v>
      </c>
      <c r="C27" s="18">
        <v>6968.2</v>
      </c>
      <c r="D27" s="332">
        <v>1.2</v>
      </c>
      <c r="E27" s="332">
        <v>7.3</v>
      </c>
    </row>
    <row r="28" spans="1:6" ht="16.5" customHeight="1" x14ac:dyDescent="0.3">
      <c r="A28" s="17">
        <v>5</v>
      </c>
      <c r="B28" s="18">
        <v>139263398</v>
      </c>
      <c r="C28" s="18">
        <v>6911.4</v>
      </c>
      <c r="D28" s="332">
        <v>1.2</v>
      </c>
      <c r="E28" s="332">
        <v>7.3</v>
      </c>
    </row>
    <row r="29" spans="1:6" ht="16.5" customHeight="1" x14ac:dyDescent="0.3">
      <c r="A29" s="17">
        <v>6</v>
      </c>
      <c r="B29" s="19">
        <v>139267081</v>
      </c>
      <c r="C29" s="19">
        <v>6896.7</v>
      </c>
      <c r="D29" s="334">
        <v>1.2</v>
      </c>
      <c r="E29" s="334">
        <v>7.3</v>
      </c>
    </row>
    <row r="30" spans="1:6" ht="16.5" customHeight="1" x14ac:dyDescent="0.3">
      <c r="A30" s="20" t="s">
        <v>18</v>
      </c>
      <c r="B30" s="21">
        <f>AVERAGE(B24:B29)</f>
        <v>139111590.33333334</v>
      </c>
      <c r="C30" s="22">
        <f>AVERAGE(C24:C29)</f>
        <v>6944.5166666666664</v>
      </c>
      <c r="D30" s="23">
        <f>AVERAGE(D24:D29)</f>
        <v>1.2</v>
      </c>
      <c r="E30" s="23">
        <f>AVERAGE(E24:E29)</f>
        <v>7.2833333333333323</v>
      </c>
    </row>
    <row r="31" spans="1:6" ht="16.5" customHeight="1" x14ac:dyDescent="0.3">
      <c r="A31" s="24" t="s">
        <v>19</v>
      </c>
      <c r="B31" s="25">
        <f>(STDEV(B24:B29)/B30)</f>
        <v>1.2789868936325037E-3</v>
      </c>
      <c r="C31" s="26"/>
      <c r="D31" s="26"/>
      <c r="E31" s="27"/>
      <c r="F31" s="2"/>
    </row>
    <row r="32" spans="1:6" s="2" customFormat="1" ht="16.5" customHeight="1" x14ac:dyDescent="0.3">
      <c r="A32" s="28" t="s">
        <v>20</v>
      </c>
      <c r="B32" s="29">
        <f>COUNT(B24:B29)</f>
        <v>6</v>
      </c>
      <c r="C32" s="30"/>
      <c r="D32" s="31"/>
      <c r="E32" s="32"/>
    </row>
    <row r="33" spans="1:7" s="2" customFormat="1" ht="15.75" customHeight="1" x14ac:dyDescent="0.3">
      <c r="A33" s="10"/>
      <c r="B33" s="10"/>
      <c r="C33" s="10"/>
      <c r="D33" s="10"/>
      <c r="E33" s="33"/>
    </row>
    <row r="34" spans="1:7" s="2" customFormat="1" ht="16.5" customHeight="1" x14ac:dyDescent="0.3">
      <c r="A34" s="11" t="s">
        <v>21</v>
      </c>
      <c r="B34" s="34" t="s">
        <v>22</v>
      </c>
      <c r="C34" s="35"/>
      <c r="D34" s="35"/>
      <c r="E34" s="36"/>
    </row>
    <row r="35" spans="1:7" ht="16.5" customHeight="1" x14ac:dyDescent="0.3">
      <c r="A35" s="11"/>
      <c r="B35" s="34" t="s">
        <v>124</v>
      </c>
      <c r="C35" s="35"/>
      <c r="D35" s="35"/>
      <c r="E35" s="36"/>
      <c r="F35" s="2"/>
    </row>
    <row r="36" spans="1:7" ht="16.5" customHeight="1" x14ac:dyDescent="0.3">
      <c r="A36" s="11"/>
      <c r="B36" s="37" t="s">
        <v>125</v>
      </c>
      <c r="C36" s="35"/>
      <c r="D36" s="35"/>
      <c r="E36" s="35"/>
    </row>
    <row r="37" spans="1:7" ht="15.75" customHeight="1" x14ac:dyDescent="0.3">
      <c r="A37" s="10"/>
      <c r="B37" s="10"/>
      <c r="C37" s="10"/>
      <c r="D37" s="10"/>
      <c r="E37" s="10"/>
    </row>
    <row r="38" spans="1:7" ht="16.5" customHeight="1" x14ac:dyDescent="0.3">
      <c r="A38" s="263"/>
      <c r="B38" s="264"/>
      <c r="C38" s="265"/>
      <c r="D38" s="265"/>
      <c r="E38" s="265"/>
      <c r="F38" s="265"/>
      <c r="G38" s="265"/>
    </row>
    <row r="39" spans="1:7" ht="16.5" customHeight="1" x14ac:dyDescent="0.3">
      <c r="A39" s="266"/>
      <c r="B39" s="267"/>
      <c r="C39" s="268"/>
      <c r="D39" s="268"/>
      <c r="E39" s="268"/>
      <c r="F39" s="265"/>
      <c r="G39" s="265"/>
    </row>
    <row r="40" spans="1:7" ht="16.5" customHeight="1" x14ac:dyDescent="0.3">
      <c r="A40" s="266"/>
      <c r="B40" s="269"/>
      <c r="C40" s="268"/>
      <c r="D40" s="268"/>
      <c r="E40" s="268"/>
      <c r="F40" s="265"/>
      <c r="G40" s="265"/>
    </row>
    <row r="41" spans="1:7" ht="16.5" customHeight="1" x14ac:dyDescent="0.3">
      <c r="A41" s="267"/>
      <c r="B41" s="269"/>
      <c r="C41" s="268"/>
      <c r="D41" s="268"/>
      <c r="E41" s="268"/>
      <c r="F41" s="265"/>
      <c r="G41" s="265"/>
    </row>
    <row r="42" spans="1:7" ht="16.5" customHeight="1" x14ac:dyDescent="0.3">
      <c r="A42" s="267"/>
      <c r="B42" s="270"/>
      <c r="C42" s="268"/>
      <c r="D42" s="268"/>
      <c r="E42" s="268"/>
      <c r="F42" s="265"/>
      <c r="G42" s="265"/>
    </row>
    <row r="43" spans="1:7" ht="15.75" customHeight="1" x14ac:dyDescent="0.3">
      <c r="A43" s="268"/>
      <c r="B43" s="268"/>
      <c r="C43" s="268"/>
      <c r="D43" s="268"/>
      <c r="E43" s="268"/>
      <c r="F43" s="265"/>
      <c r="G43" s="265"/>
    </row>
    <row r="44" spans="1:7" ht="16.5" customHeight="1" x14ac:dyDescent="0.3">
      <c r="A44" s="271"/>
      <c r="B44" s="271"/>
      <c r="C44" s="271"/>
      <c r="D44" s="271"/>
      <c r="E44" s="271"/>
      <c r="F44" s="265"/>
      <c r="G44" s="265"/>
    </row>
    <row r="45" spans="1:7" ht="16.5" customHeight="1" x14ac:dyDescent="0.3">
      <c r="A45" s="272"/>
      <c r="B45" s="273"/>
      <c r="C45" s="273"/>
      <c r="D45" s="274"/>
      <c r="E45" s="274"/>
      <c r="F45" s="265"/>
      <c r="G45" s="265"/>
    </row>
    <row r="46" spans="1:7" ht="16.5" customHeight="1" x14ac:dyDescent="0.3">
      <c r="A46" s="272"/>
      <c r="B46" s="273"/>
      <c r="C46" s="273"/>
      <c r="D46" s="274"/>
      <c r="E46" s="274"/>
      <c r="F46" s="265"/>
      <c r="G46" s="265"/>
    </row>
    <row r="47" spans="1:7" ht="16.5" customHeight="1" x14ac:dyDescent="0.3">
      <c r="A47" s="272"/>
      <c r="B47" s="273"/>
      <c r="C47" s="273"/>
      <c r="D47" s="274"/>
      <c r="E47" s="274"/>
      <c r="F47" s="265"/>
      <c r="G47" s="265"/>
    </row>
    <row r="48" spans="1:7" ht="16.5" customHeight="1" x14ac:dyDescent="0.3">
      <c r="A48" s="272"/>
      <c r="B48" s="273"/>
      <c r="C48" s="273"/>
      <c r="D48" s="274"/>
      <c r="E48" s="274"/>
      <c r="F48" s="265"/>
      <c r="G48" s="265"/>
    </row>
    <row r="49" spans="1:7" ht="16.5" customHeight="1" x14ac:dyDescent="0.3">
      <c r="A49" s="272"/>
      <c r="B49" s="273"/>
      <c r="C49" s="273"/>
      <c r="D49" s="274"/>
      <c r="E49" s="274"/>
      <c r="F49" s="265"/>
      <c r="G49" s="265"/>
    </row>
    <row r="50" spans="1:7" ht="16.5" customHeight="1" x14ac:dyDescent="0.3">
      <c r="A50" s="272"/>
      <c r="B50" s="273"/>
      <c r="C50" s="273"/>
      <c r="D50" s="274"/>
      <c r="E50" s="274"/>
      <c r="F50" s="265"/>
      <c r="G50" s="265"/>
    </row>
    <row r="51" spans="1:7" ht="16.5" customHeight="1" x14ac:dyDescent="0.3">
      <c r="A51" s="268"/>
      <c r="B51" s="275"/>
      <c r="C51" s="275"/>
      <c r="D51" s="269"/>
      <c r="E51" s="269"/>
      <c r="F51" s="265"/>
      <c r="G51" s="265"/>
    </row>
    <row r="52" spans="1:7" ht="16.5" customHeight="1" x14ac:dyDescent="0.3">
      <c r="A52" s="268"/>
      <c r="B52" s="276"/>
      <c r="C52" s="277"/>
      <c r="D52" s="277"/>
      <c r="E52" s="268"/>
      <c r="F52" s="265"/>
      <c r="G52" s="265"/>
    </row>
    <row r="53" spans="1:7" s="2" customFormat="1" ht="16.5" customHeight="1" x14ac:dyDescent="0.3">
      <c r="A53" s="268"/>
      <c r="B53" s="271"/>
      <c r="C53" s="271"/>
      <c r="D53" s="268"/>
      <c r="E53" s="268"/>
      <c r="F53" s="265"/>
      <c r="G53" s="265"/>
    </row>
    <row r="54" spans="1:7" s="2" customFormat="1" ht="15.75" customHeight="1" x14ac:dyDescent="0.3">
      <c r="A54" s="268"/>
      <c r="B54" s="268"/>
      <c r="C54" s="268"/>
      <c r="D54" s="268"/>
      <c r="E54" s="268"/>
      <c r="F54" s="265"/>
      <c r="G54" s="265"/>
    </row>
    <row r="55" spans="1:7" s="2" customFormat="1" ht="16.5" customHeight="1" x14ac:dyDescent="0.3">
      <c r="A55" s="266"/>
      <c r="B55" s="278"/>
      <c r="C55" s="279"/>
      <c r="D55" s="279"/>
      <c r="E55" s="279"/>
      <c r="F55" s="265"/>
      <c r="G55" s="265"/>
    </row>
    <row r="56" spans="1:7" ht="16.5" customHeight="1" x14ac:dyDescent="0.3">
      <c r="A56" s="266"/>
      <c r="B56" s="278"/>
      <c r="C56" s="279"/>
      <c r="D56" s="279"/>
      <c r="E56" s="279"/>
      <c r="F56" s="265"/>
      <c r="G56" s="265"/>
    </row>
    <row r="57" spans="1:7" ht="16.5" customHeight="1" x14ac:dyDescent="0.3">
      <c r="A57" s="266"/>
      <c r="B57" s="278"/>
      <c r="C57" s="279"/>
      <c r="D57" s="279"/>
      <c r="E57" s="279"/>
      <c r="F57" s="265"/>
      <c r="G57" s="265"/>
    </row>
    <row r="58" spans="1:7" ht="14.25" customHeight="1" x14ac:dyDescent="0.3">
      <c r="A58" s="265"/>
      <c r="B58" s="280"/>
      <c r="C58" s="265"/>
      <c r="D58" s="281"/>
      <c r="E58" s="265"/>
      <c r="F58" s="282"/>
      <c r="G58" s="282"/>
    </row>
    <row r="59" spans="1:7" ht="15" customHeight="1" x14ac:dyDescent="0.3">
      <c r="B59" s="284" t="s">
        <v>23</v>
      </c>
      <c r="C59" s="284"/>
      <c r="E59" s="261" t="s">
        <v>24</v>
      </c>
      <c r="F59" s="262"/>
      <c r="G59" s="261" t="s">
        <v>25</v>
      </c>
    </row>
    <row r="60" spans="1:7" ht="15" customHeight="1" x14ac:dyDescent="0.3">
      <c r="A60" s="38" t="s">
        <v>26</v>
      </c>
      <c r="B60" s="39"/>
      <c r="C60" s="39"/>
      <c r="E60" s="39"/>
      <c r="F60" s="2"/>
      <c r="G60" s="40"/>
    </row>
    <row r="61" spans="1:7" ht="15" customHeight="1" x14ac:dyDescent="0.3">
      <c r="A61" s="38" t="s">
        <v>27</v>
      </c>
      <c r="B61" s="41"/>
      <c r="C61" s="41"/>
      <c r="E61" s="41"/>
      <c r="F61" s="2"/>
      <c r="G61" s="4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7" workbookViewId="0">
      <selection activeCell="F22" sqref="F22"/>
    </sheetView>
  </sheetViews>
  <sheetFormatPr defaultRowHeight="13.8" x14ac:dyDescent="0.3"/>
  <cols>
    <col min="1" max="1" width="15.5546875" style="1" customWidth="1"/>
    <col min="2" max="2" width="18.44140625" style="1" customWidth="1"/>
    <col min="3" max="3" width="14.33203125" style="1" customWidth="1"/>
    <col min="4" max="4" width="15" style="1" customWidth="1"/>
    <col min="5" max="5" width="9.109375" style="1" customWidth="1"/>
    <col min="6" max="6" width="27.88671875" style="1" customWidth="1"/>
    <col min="7" max="7" width="12.33203125" style="1" customWidth="1"/>
    <col min="8" max="8" width="9.109375" style="1" customWidth="1"/>
  </cols>
  <sheetData>
    <row r="10" spans="1:7" ht="13.5" customHeight="1" x14ac:dyDescent="0.3"/>
    <row r="11" spans="1:7" ht="13.5" customHeight="1" x14ac:dyDescent="0.3">
      <c r="A11" s="288" t="s">
        <v>28</v>
      </c>
      <c r="B11" s="289"/>
      <c r="C11" s="289"/>
      <c r="D11" s="289"/>
      <c r="E11" s="289"/>
      <c r="F11" s="290"/>
      <c r="G11" s="82"/>
    </row>
    <row r="12" spans="1:7" ht="16.5" customHeight="1" x14ac:dyDescent="0.3">
      <c r="A12" s="287" t="s">
        <v>29</v>
      </c>
      <c r="B12" s="287"/>
      <c r="C12" s="287"/>
      <c r="D12" s="287"/>
      <c r="E12" s="287"/>
      <c r="F12" s="287"/>
      <c r="G12" s="81"/>
    </row>
    <row r="14" spans="1:7" ht="16.5" customHeight="1" x14ac:dyDescent="0.3">
      <c r="A14" s="292" t="s">
        <v>30</v>
      </c>
      <c r="B14" s="292"/>
      <c r="C14" s="51" t="s">
        <v>5</v>
      </c>
    </row>
    <row r="15" spans="1:7" ht="16.5" customHeight="1" x14ac:dyDescent="0.3">
      <c r="A15" s="292" t="s">
        <v>31</v>
      </c>
      <c r="B15" s="292"/>
      <c r="C15" s="51" t="s">
        <v>7</v>
      </c>
    </row>
    <row r="16" spans="1:7" ht="16.5" customHeight="1" x14ac:dyDescent="0.3">
      <c r="A16" s="292" t="s">
        <v>32</v>
      </c>
      <c r="B16" s="292"/>
      <c r="C16" s="51" t="s">
        <v>9</v>
      </c>
    </row>
    <row r="17" spans="1:5" ht="16.5" customHeight="1" x14ac:dyDescent="0.3">
      <c r="A17" s="292" t="s">
        <v>33</v>
      </c>
      <c r="B17" s="292"/>
      <c r="C17" s="51" t="s">
        <v>11</v>
      </c>
    </row>
    <row r="18" spans="1:5" ht="16.5" customHeight="1" x14ac:dyDescent="0.3">
      <c r="A18" s="292" t="s">
        <v>34</v>
      </c>
      <c r="B18" s="292"/>
      <c r="C18" s="88" t="s">
        <v>12</v>
      </c>
    </row>
    <row r="19" spans="1:5" ht="16.5" customHeight="1" x14ac:dyDescent="0.3">
      <c r="A19" s="292" t="s">
        <v>35</v>
      </c>
      <c r="B19" s="292"/>
      <c r="C19" s="88" t="e">
        <f>#REF!</f>
        <v>#REF!</v>
      </c>
    </row>
    <row r="20" spans="1:5" ht="16.5" customHeight="1" x14ac:dyDescent="0.3">
      <c r="A20" s="53"/>
      <c r="B20" s="53"/>
      <c r="C20" s="68"/>
    </row>
    <row r="21" spans="1:5" ht="16.5" customHeight="1" x14ac:dyDescent="0.3">
      <c r="A21" s="287" t="s">
        <v>1</v>
      </c>
      <c r="B21" s="287"/>
      <c r="C21" s="50" t="s">
        <v>36</v>
      </c>
      <c r="D21" s="57"/>
    </row>
    <row r="22" spans="1:5" ht="15.75" customHeight="1" x14ac:dyDescent="0.3">
      <c r="A22" s="291"/>
      <c r="B22" s="291"/>
      <c r="C22" s="48"/>
      <c r="D22" s="291"/>
      <c r="E22" s="291"/>
    </row>
    <row r="23" spans="1:5" ht="33.75" customHeight="1" x14ac:dyDescent="0.3">
      <c r="C23" s="77" t="s">
        <v>37</v>
      </c>
      <c r="D23" s="76" t="s">
        <v>38</v>
      </c>
      <c r="E23" s="43"/>
    </row>
    <row r="24" spans="1:5" ht="15.75" customHeight="1" x14ac:dyDescent="0.3">
      <c r="C24" s="86">
        <v>841.59</v>
      </c>
      <c r="D24" s="78">
        <f t="shared" ref="D24:D43" si="0">(C24-$C$46)/$C$46</f>
        <v>1.487785686506835E-2</v>
      </c>
      <c r="E24" s="44"/>
    </row>
    <row r="25" spans="1:5" ht="15.75" customHeight="1" x14ac:dyDescent="0.3">
      <c r="C25" s="86">
        <v>838.87</v>
      </c>
      <c r="D25" s="79">
        <f t="shared" si="0"/>
        <v>1.1597794399172827E-2</v>
      </c>
      <c r="E25" s="44"/>
    </row>
    <row r="26" spans="1:5" ht="15.75" customHeight="1" x14ac:dyDescent="0.3">
      <c r="C26" s="86">
        <v>841.53</v>
      </c>
      <c r="D26" s="79">
        <f t="shared" si="0"/>
        <v>1.4805502545967643E-2</v>
      </c>
      <c r="E26" s="44"/>
    </row>
    <row r="27" spans="1:5" ht="15.75" customHeight="1" x14ac:dyDescent="0.3">
      <c r="C27" s="86">
        <v>829.23</v>
      </c>
      <c r="D27" s="79">
        <f t="shared" si="0"/>
        <v>-2.7132869662645205E-5</v>
      </c>
      <c r="E27" s="44"/>
    </row>
    <row r="28" spans="1:5" ht="15.75" customHeight="1" x14ac:dyDescent="0.3">
      <c r="C28" s="86">
        <v>826.83</v>
      </c>
      <c r="D28" s="79">
        <f t="shared" si="0"/>
        <v>-2.9213056336880507E-3</v>
      </c>
      <c r="E28" s="44"/>
    </row>
    <row r="29" spans="1:5" ht="15.75" customHeight="1" x14ac:dyDescent="0.3">
      <c r="C29" s="86">
        <v>812.83</v>
      </c>
      <c r="D29" s="79">
        <f t="shared" si="0"/>
        <v>-1.9803980090503076E-2</v>
      </c>
      <c r="E29" s="44"/>
    </row>
    <row r="30" spans="1:5" ht="15.75" customHeight="1" x14ac:dyDescent="0.3">
      <c r="C30" s="86">
        <v>842.46</v>
      </c>
      <c r="D30" s="79">
        <f t="shared" si="0"/>
        <v>1.5926994492027575E-2</v>
      </c>
      <c r="E30" s="44"/>
    </row>
    <row r="31" spans="1:5" ht="15.75" customHeight="1" x14ac:dyDescent="0.3">
      <c r="C31" s="86">
        <v>830.81</v>
      </c>
      <c r="D31" s="79">
        <f t="shared" si="0"/>
        <v>1.878197533320677E-3</v>
      </c>
      <c r="E31" s="44"/>
    </row>
    <row r="32" spans="1:5" ht="15.75" customHeight="1" x14ac:dyDescent="0.3">
      <c r="C32" s="86">
        <v>806.66</v>
      </c>
      <c r="D32" s="79">
        <f t="shared" si="0"/>
        <v>-2.7244415904685213E-2</v>
      </c>
      <c r="E32" s="44"/>
    </row>
    <row r="33" spans="1:7" ht="15.75" customHeight="1" x14ac:dyDescent="0.3">
      <c r="C33" s="86">
        <v>820.61</v>
      </c>
      <c r="D33" s="79">
        <f t="shared" si="0"/>
        <v>-1.042203671378733E-2</v>
      </c>
      <c r="E33" s="44"/>
    </row>
    <row r="34" spans="1:7" ht="15.75" customHeight="1" x14ac:dyDescent="0.3">
      <c r="C34" s="86">
        <v>838.28</v>
      </c>
      <c r="D34" s="79">
        <f t="shared" si="0"/>
        <v>1.0886310261349869E-2</v>
      </c>
      <c r="E34" s="44"/>
    </row>
    <row r="35" spans="1:7" ht="15.75" customHeight="1" x14ac:dyDescent="0.3">
      <c r="C35" s="86">
        <v>827.24</v>
      </c>
      <c r="D35" s="79">
        <f t="shared" si="0"/>
        <v>-2.4268844531670775E-3</v>
      </c>
      <c r="E35" s="44"/>
    </row>
    <row r="36" spans="1:7" ht="15.75" customHeight="1" x14ac:dyDescent="0.3">
      <c r="C36" s="86">
        <v>824.32</v>
      </c>
      <c r="D36" s="79">
        <f t="shared" si="0"/>
        <v>-5.9481279827313044E-3</v>
      </c>
      <c r="E36" s="44"/>
    </row>
    <row r="37" spans="1:7" ht="15.75" customHeight="1" x14ac:dyDescent="0.3">
      <c r="C37" s="86">
        <v>818.06</v>
      </c>
      <c r="D37" s="79">
        <f t="shared" si="0"/>
        <v>-1.3497095275564435E-2</v>
      </c>
      <c r="E37" s="44"/>
    </row>
    <row r="38" spans="1:7" ht="15.75" customHeight="1" x14ac:dyDescent="0.3">
      <c r="C38" s="86">
        <v>826.69</v>
      </c>
      <c r="D38" s="79">
        <f t="shared" si="0"/>
        <v>-3.0901323782561844E-3</v>
      </c>
      <c r="E38" s="44"/>
    </row>
    <row r="39" spans="1:7" ht="15.75" customHeight="1" x14ac:dyDescent="0.3">
      <c r="C39" s="86">
        <v>825.46</v>
      </c>
      <c r="D39" s="79">
        <f t="shared" si="0"/>
        <v>-4.5733959198192408E-3</v>
      </c>
      <c r="E39" s="44"/>
    </row>
    <row r="40" spans="1:7" ht="15.75" customHeight="1" x14ac:dyDescent="0.3">
      <c r="C40" s="86">
        <v>848.15</v>
      </c>
      <c r="D40" s="79">
        <f t="shared" si="0"/>
        <v>2.2788595753404466E-2</v>
      </c>
      <c r="E40" s="44"/>
    </row>
    <row r="41" spans="1:7" ht="15.75" customHeight="1" x14ac:dyDescent="0.3">
      <c r="C41" s="86">
        <v>830.39</v>
      </c>
      <c r="D41" s="79">
        <f t="shared" si="0"/>
        <v>1.3717172996162755E-3</v>
      </c>
      <c r="E41" s="44"/>
    </row>
    <row r="42" spans="1:7" ht="15.75" customHeight="1" x14ac:dyDescent="0.3">
      <c r="C42" s="86">
        <v>827.77</v>
      </c>
      <c r="D42" s="79">
        <f t="shared" si="0"/>
        <v>-1.7877546344448273E-3</v>
      </c>
      <c r="E42" s="44"/>
    </row>
    <row r="43" spans="1:7" ht="16.5" customHeight="1" x14ac:dyDescent="0.3">
      <c r="C43" s="87">
        <v>827.27</v>
      </c>
      <c r="D43" s="80">
        <f t="shared" si="0"/>
        <v>-2.3907072936167925E-3</v>
      </c>
      <c r="E43" s="44"/>
    </row>
    <row r="44" spans="1:7" ht="16.5" customHeight="1" x14ac:dyDescent="0.3">
      <c r="C44" s="45"/>
      <c r="D44" s="44"/>
      <c r="E44" s="46"/>
    </row>
    <row r="45" spans="1:7" ht="16.5" customHeight="1" x14ac:dyDescent="0.3">
      <c r="B45" s="73" t="s">
        <v>39</v>
      </c>
      <c r="C45" s="74">
        <f>SUM(C24:C44)</f>
        <v>16585.05</v>
      </c>
      <c r="D45" s="69"/>
      <c r="E45" s="45"/>
    </row>
    <row r="46" spans="1:7" ht="17.25" customHeight="1" x14ac:dyDescent="0.3">
      <c r="B46" s="73" t="s">
        <v>40</v>
      </c>
      <c r="C46" s="75">
        <f>AVERAGE(C24:C44)</f>
        <v>829.25249999999994</v>
      </c>
      <c r="E46" s="47"/>
    </row>
    <row r="47" spans="1:7" ht="17.25" customHeight="1" x14ac:dyDescent="0.3">
      <c r="A47" s="51"/>
      <c r="B47" s="70"/>
      <c r="D47" s="49"/>
      <c r="E47" s="47"/>
    </row>
    <row r="48" spans="1:7" ht="33.75" customHeight="1" x14ac:dyDescent="0.3">
      <c r="B48" s="83" t="s">
        <v>40</v>
      </c>
      <c r="C48" s="76" t="s">
        <v>41</v>
      </c>
      <c r="D48" s="71"/>
      <c r="G48" s="49"/>
    </row>
    <row r="49" spans="1:6" ht="17.25" customHeight="1" x14ac:dyDescent="0.3">
      <c r="B49" s="285">
        <f>C46</f>
        <v>829.25249999999994</v>
      </c>
      <c r="C49" s="84">
        <f>-IF(C46&lt;=80,10%,IF(C46&lt;250,7.5%,5%))</f>
        <v>-0.05</v>
      </c>
      <c r="D49" s="72">
        <f>IF(C46&lt;=80,C46*0.9,IF(C46&lt;250,C46*0.925,C46*0.95))</f>
        <v>787.78987499999994</v>
      </c>
    </row>
    <row r="50" spans="1:6" ht="17.25" customHeight="1" x14ac:dyDescent="0.3">
      <c r="B50" s="286"/>
      <c r="C50" s="85">
        <f>IF(C46&lt;=80, 10%, IF(C46&lt;250, 7.5%, 5%))</f>
        <v>0.05</v>
      </c>
      <c r="D50" s="72">
        <f>IF(C46&lt;=80, C46*1.1, IF(C46&lt;250, C46*1.075, C46*1.05))</f>
        <v>870.71512499999994</v>
      </c>
    </row>
    <row r="51" spans="1:6" ht="16.5" customHeight="1" x14ac:dyDescent="0.3">
      <c r="A51" s="54"/>
      <c r="B51" s="55"/>
      <c r="C51" s="51"/>
      <c r="D51" s="56"/>
      <c r="E51" s="51"/>
      <c r="F51" s="57"/>
    </row>
    <row r="52" spans="1:6" ht="16.5" customHeight="1" x14ac:dyDescent="0.3">
      <c r="A52" s="51"/>
      <c r="B52" s="58" t="s">
        <v>23</v>
      </c>
      <c r="C52" s="58"/>
      <c r="D52" s="59" t="s">
        <v>24</v>
      </c>
      <c r="E52" s="60"/>
      <c r="F52" s="59" t="s">
        <v>25</v>
      </c>
    </row>
    <row r="53" spans="1:6" ht="34.5" customHeight="1" x14ac:dyDescent="0.3">
      <c r="A53" s="61" t="s">
        <v>26</v>
      </c>
      <c r="B53" s="62"/>
      <c r="C53" s="63"/>
      <c r="D53" s="62"/>
      <c r="E53" s="52"/>
      <c r="F53" s="64"/>
    </row>
    <row r="54" spans="1:6" ht="34.5" customHeight="1" x14ac:dyDescent="0.3">
      <c r="A54" s="61" t="s">
        <v>27</v>
      </c>
      <c r="B54" s="65"/>
      <c r="C54" s="66"/>
      <c r="D54" s="65"/>
      <c r="E54" s="52"/>
      <c r="F54" s="67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75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B63" zoomScale="60" zoomScaleNormal="70" zoomScalePageLayoutView="50" workbookViewId="0">
      <selection activeCell="F133" sqref="F133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293" t="s">
        <v>42</v>
      </c>
      <c r="B1" s="293"/>
      <c r="C1" s="293"/>
      <c r="D1" s="293"/>
      <c r="E1" s="293"/>
      <c r="F1" s="293"/>
      <c r="G1" s="293"/>
      <c r="H1" s="293"/>
      <c r="I1" s="293"/>
    </row>
    <row r="2" spans="1:9" ht="18.75" customHeight="1" x14ac:dyDescent="0.3">
      <c r="A2" s="293"/>
      <c r="B2" s="293"/>
      <c r="C2" s="293"/>
      <c r="D2" s="293"/>
      <c r="E2" s="293"/>
      <c r="F2" s="293"/>
      <c r="G2" s="293"/>
      <c r="H2" s="293"/>
      <c r="I2" s="293"/>
    </row>
    <row r="3" spans="1:9" ht="18.75" customHeight="1" x14ac:dyDescent="0.3">
      <c r="A3" s="293"/>
      <c r="B3" s="293"/>
      <c r="C3" s="293"/>
      <c r="D3" s="293"/>
      <c r="E3" s="293"/>
      <c r="F3" s="293"/>
      <c r="G3" s="293"/>
      <c r="H3" s="293"/>
      <c r="I3" s="293"/>
    </row>
    <row r="4" spans="1:9" ht="18.75" customHeight="1" x14ac:dyDescent="0.3">
      <c r="A4" s="293"/>
      <c r="B4" s="293"/>
      <c r="C4" s="293"/>
      <c r="D4" s="293"/>
      <c r="E4" s="293"/>
      <c r="F4" s="293"/>
      <c r="G4" s="293"/>
      <c r="H4" s="293"/>
      <c r="I4" s="293"/>
    </row>
    <row r="5" spans="1:9" ht="18.75" customHeight="1" x14ac:dyDescent="0.3">
      <c r="A5" s="293"/>
      <c r="B5" s="293"/>
      <c r="C5" s="293"/>
      <c r="D5" s="293"/>
      <c r="E5" s="293"/>
      <c r="F5" s="293"/>
      <c r="G5" s="293"/>
      <c r="H5" s="293"/>
      <c r="I5" s="293"/>
    </row>
    <row r="6" spans="1:9" ht="18.75" customHeight="1" x14ac:dyDescent="0.3">
      <c r="A6" s="293"/>
      <c r="B6" s="293"/>
      <c r="C6" s="293"/>
      <c r="D6" s="293"/>
      <c r="E6" s="293"/>
      <c r="F6" s="293"/>
      <c r="G6" s="293"/>
      <c r="H6" s="293"/>
      <c r="I6" s="293"/>
    </row>
    <row r="7" spans="1:9" ht="18.75" customHeight="1" x14ac:dyDescent="0.3">
      <c r="A7" s="293"/>
      <c r="B7" s="293"/>
      <c r="C7" s="293"/>
      <c r="D7" s="293"/>
      <c r="E7" s="293"/>
      <c r="F7" s="293"/>
      <c r="G7" s="293"/>
      <c r="H7" s="293"/>
      <c r="I7" s="293"/>
    </row>
    <row r="8" spans="1:9" x14ac:dyDescent="0.3">
      <c r="A8" s="294" t="s">
        <v>43</v>
      </c>
      <c r="B8" s="294"/>
      <c r="C8" s="294"/>
      <c r="D8" s="294"/>
      <c r="E8" s="294"/>
      <c r="F8" s="294"/>
      <c r="G8" s="294"/>
      <c r="H8" s="294"/>
      <c r="I8" s="294"/>
    </row>
    <row r="9" spans="1:9" x14ac:dyDescent="0.3">
      <c r="A9" s="294"/>
      <c r="B9" s="294"/>
      <c r="C9" s="294"/>
      <c r="D9" s="294"/>
      <c r="E9" s="294"/>
      <c r="F9" s="294"/>
      <c r="G9" s="294"/>
      <c r="H9" s="294"/>
      <c r="I9" s="294"/>
    </row>
    <row r="10" spans="1:9" x14ac:dyDescent="0.3">
      <c r="A10" s="294"/>
      <c r="B10" s="294"/>
      <c r="C10" s="294"/>
      <c r="D10" s="294"/>
      <c r="E10" s="294"/>
      <c r="F10" s="294"/>
      <c r="G10" s="294"/>
      <c r="H10" s="294"/>
      <c r="I10" s="294"/>
    </row>
    <row r="11" spans="1:9" x14ac:dyDescent="0.3">
      <c r="A11" s="294"/>
      <c r="B11" s="294"/>
      <c r="C11" s="294"/>
      <c r="D11" s="294"/>
      <c r="E11" s="294"/>
      <c r="F11" s="294"/>
      <c r="G11" s="294"/>
      <c r="H11" s="294"/>
      <c r="I11" s="294"/>
    </row>
    <row r="12" spans="1:9" x14ac:dyDescent="0.3">
      <c r="A12" s="294"/>
      <c r="B12" s="294"/>
      <c r="C12" s="294"/>
      <c r="D12" s="294"/>
      <c r="E12" s="294"/>
      <c r="F12" s="294"/>
      <c r="G12" s="294"/>
      <c r="H12" s="294"/>
      <c r="I12" s="294"/>
    </row>
    <row r="13" spans="1:9" x14ac:dyDescent="0.3">
      <c r="A13" s="294"/>
      <c r="B13" s="294"/>
      <c r="C13" s="294"/>
      <c r="D13" s="294"/>
      <c r="E13" s="294"/>
      <c r="F13" s="294"/>
      <c r="G13" s="294"/>
      <c r="H13" s="294"/>
      <c r="I13" s="294"/>
    </row>
    <row r="14" spans="1:9" x14ac:dyDescent="0.3">
      <c r="A14" s="294"/>
      <c r="B14" s="294"/>
      <c r="C14" s="294"/>
      <c r="D14" s="294"/>
      <c r="E14" s="294"/>
      <c r="F14" s="294"/>
      <c r="G14" s="294"/>
      <c r="H14" s="294"/>
      <c r="I14" s="294"/>
    </row>
    <row r="15" spans="1:9" ht="19.5" customHeight="1" x14ac:dyDescent="0.35">
      <c r="A15" s="89"/>
    </row>
    <row r="16" spans="1:9" ht="19.5" customHeight="1" x14ac:dyDescent="0.35">
      <c r="A16" s="327" t="s">
        <v>28</v>
      </c>
      <c r="B16" s="328"/>
      <c r="C16" s="328"/>
      <c r="D16" s="328"/>
      <c r="E16" s="328"/>
      <c r="F16" s="328"/>
      <c r="G16" s="328"/>
      <c r="H16" s="329"/>
    </row>
    <row r="17" spans="1:14" ht="20.25" customHeight="1" x14ac:dyDescent="0.3">
      <c r="A17" s="330" t="s">
        <v>44</v>
      </c>
      <c r="B17" s="330"/>
      <c r="C17" s="330"/>
      <c r="D17" s="330"/>
      <c r="E17" s="330"/>
      <c r="F17" s="330"/>
      <c r="G17" s="330"/>
      <c r="H17" s="330"/>
    </row>
    <row r="18" spans="1:14" ht="26.25" customHeight="1" x14ac:dyDescent="0.5">
      <c r="A18" s="91" t="s">
        <v>30</v>
      </c>
      <c r="B18" s="326" t="s">
        <v>122</v>
      </c>
      <c r="C18" s="326"/>
      <c r="D18" s="248"/>
      <c r="E18" s="92"/>
      <c r="F18" s="93"/>
      <c r="G18" s="93"/>
      <c r="H18" s="93"/>
    </row>
    <row r="19" spans="1:14" ht="26.25" customHeight="1" x14ac:dyDescent="0.5">
      <c r="A19" s="91" t="s">
        <v>31</v>
      </c>
      <c r="B19" s="94" t="s">
        <v>7</v>
      </c>
      <c r="C19" s="260">
        <v>29</v>
      </c>
      <c r="D19" s="93"/>
      <c r="E19" s="93"/>
      <c r="F19" s="93"/>
      <c r="G19" s="93"/>
      <c r="H19" s="93"/>
    </row>
    <row r="20" spans="1:14" ht="26.25" customHeight="1" x14ac:dyDescent="0.5">
      <c r="A20" s="91" t="s">
        <v>32</v>
      </c>
      <c r="B20" s="331" t="s">
        <v>9</v>
      </c>
      <c r="C20" s="331"/>
      <c r="D20" s="93"/>
      <c r="E20" s="93"/>
      <c r="F20" s="93"/>
      <c r="G20" s="93"/>
      <c r="H20" s="93"/>
    </row>
    <row r="21" spans="1:14" ht="26.25" customHeight="1" x14ac:dyDescent="0.5">
      <c r="A21" s="91" t="s">
        <v>33</v>
      </c>
      <c r="B21" s="331" t="s">
        <v>11</v>
      </c>
      <c r="C21" s="331"/>
      <c r="D21" s="331"/>
      <c r="E21" s="331"/>
      <c r="F21" s="331"/>
      <c r="G21" s="331"/>
      <c r="H21" s="331"/>
      <c r="I21" s="95"/>
    </row>
    <row r="22" spans="1:14" ht="26.25" customHeight="1" x14ac:dyDescent="0.5">
      <c r="A22" s="91" t="s">
        <v>34</v>
      </c>
      <c r="B22" s="96"/>
      <c r="C22" s="93"/>
      <c r="D22" s="93"/>
      <c r="E22" s="93"/>
      <c r="F22" s="93"/>
      <c r="G22" s="93"/>
      <c r="H22" s="93"/>
    </row>
    <row r="23" spans="1:14" ht="26.25" customHeight="1" x14ac:dyDescent="0.5">
      <c r="A23" s="91" t="s">
        <v>35</v>
      </c>
      <c r="B23" s="96"/>
      <c r="C23" s="93"/>
      <c r="D23" s="93"/>
      <c r="E23" s="93"/>
      <c r="F23" s="93"/>
      <c r="G23" s="93"/>
      <c r="H23" s="93"/>
    </row>
    <row r="24" spans="1:14" ht="18" x14ac:dyDescent="0.35">
      <c r="A24" s="91"/>
      <c r="B24" s="97"/>
    </row>
    <row r="25" spans="1:14" ht="18" x14ac:dyDescent="0.35">
      <c r="A25" s="98" t="s">
        <v>1</v>
      </c>
      <c r="B25" s="97"/>
    </row>
    <row r="26" spans="1:14" ht="26.25" customHeight="1" x14ac:dyDescent="0.45">
      <c r="A26" s="99" t="s">
        <v>4</v>
      </c>
      <c r="B26" s="326" t="s">
        <v>119</v>
      </c>
      <c r="C26" s="326"/>
    </row>
    <row r="27" spans="1:14" ht="26.25" customHeight="1" x14ac:dyDescent="0.5">
      <c r="A27" s="100" t="s">
        <v>45</v>
      </c>
      <c r="B27" s="324" t="s">
        <v>120</v>
      </c>
      <c r="C27" s="324"/>
    </row>
    <row r="28" spans="1:14" ht="27" customHeight="1" x14ac:dyDescent="0.45">
      <c r="A28" s="100" t="s">
        <v>6</v>
      </c>
      <c r="B28" s="101">
        <v>99.536000000000001</v>
      </c>
    </row>
    <row r="29" spans="1:14" s="14" customFormat="1" ht="27" customHeight="1" x14ac:dyDescent="0.5">
      <c r="A29" s="100" t="s">
        <v>46</v>
      </c>
      <c r="B29" s="102">
        <v>9.7100000000000009</v>
      </c>
      <c r="C29" s="301" t="s">
        <v>47</v>
      </c>
      <c r="D29" s="302"/>
      <c r="E29" s="302"/>
      <c r="F29" s="302"/>
      <c r="G29" s="303"/>
      <c r="I29" s="103"/>
      <c r="J29" s="103"/>
      <c r="K29" s="103"/>
      <c r="L29" s="103"/>
    </row>
    <row r="30" spans="1:14" s="14" customFormat="1" ht="19.5" customHeight="1" x14ac:dyDescent="0.35">
      <c r="A30" s="100" t="s">
        <v>48</v>
      </c>
      <c r="B30" s="104">
        <f>B28-B29</f>
        <v>89.825999999999993</v>
      </c>
      <c r="C30" s="105"/>
      <c r="D30" s="105"/>
      <c r="E30" s="105"/>
      <c r="F30" s="105"/>
      <c r="G30" s="106"/>
      <c r="I30" s="103"/>
      <c r="J30" s="103"/>
      <c r="K30" s="103"/>
      <c r="L30" s="103"/>
    </row>
    <row r="31" spans="1:14" s="14" customFormat="1" ht="27" customHeight="1" x14ac:dyDescent="0.45">
      <c r="A31" s="100" t="s">
        <v>49</v>
      </c>
      <c r="B31" s="107">
        <v>1</v>
      </c>
      <c r="C31" s="304" t="s">
        <v>50</v>
      </c>
      <c r="D31" s="305"/>
      <c r="E31" s="305"/>
      <c r="F31" s="305"/>
      <c r="G31" s="305"/>
      <c r="H31" s="306"/>
      <c r="I31" s="103"/>
      <c r="J31" s="103"/>
      <c r="K31" s="103"/>
      <c r="L31" s="103"/>
    </row>
    <row r="32" spans="1:14" s="14" customFormat="1" ht="27" customHeight="1" x14ac:dyDescent="0.45">
      <c r="A32" s="100" t="s">
        <v>51</v>
      </c>
      <c r="B32" s="107">
        <v>1</v>
      </c>
      <c r="C32" s="304" t="s">
        <v>52</v>
      </c>
      <c r="D32" s="305"/>
      <c r="E32" s="305"/>
      <c r="F32" s="305"/>
      <c r="G32" s="305"/>
      <c r="H32" s="306"/>
      <c r="I32" s="103"/>
      <c r="J32" s="103"/>
      <c r="K32" s="103"/>
      <c r="L32" s="108"/>
      <c r="M32" s="108"/>
      <c r="N32" s="109"/>
    </row>
    <row r="33" spans="1:14" s="14" customFormat="1" ht="17.25" customHeight="1" x14ac:dyDescent="0.35">
      <c r="A33" s="100"/>
      <c r="B33" s="110"/>
      <c r="C33" s="111"/>
      <c r="D33" s="111"/>
      <c r="E33" s="111"/>
      <c r="F33" s="111"/>
      <c r="G33" s="111"/>
      <c r="H33" s="111"/>
      <c r="I33" s="103"/>
      <c r="J33" s="103"/>
      <c r="K33" s="103"/>
      <c r="L33" s="108"/>
      <c r="M33" s="108"/>
      <c r="N33" s="109"/>
    </row>
    <row r="34" spans="1:14" s="14" customFormat="1" ht="18" x14ac:dyDescent="0.35">
      <c r="A34" s="100" t="s">
        <v>53</v>
      </c>
      <c r="B34" s="112">
        <f>B31/B32</f>
        <v>1</v>
      </c>
      <c r="C34" s="90" t="s">
        <v>54</v>
      </c>
      <c r="D34" s="90"/>
      <c r="E34" s="90"/>
      <c r="F34" s="90"/>
      <c r="G34" s="90"/>
      <c r="I34" s="103"/>
      <c r="J34" s="103"/>
      <c r="K34" s="103"/>
      <c r="L34" s="108"/>
      <c r="M34" s="108"/>
      <c r="N34" s="109"/>
    </row>
    <row r="35" spans="1:14" s="14" customFormat="1" ht="19.5" customHeight="1" x14ac:dyDescent="0.35">
      <c r="A35" s="100"/>
      <c r="B35" s="104"/>
      <c r="G35" s="90"/>
      <c r="I35" s="103"/>
      <c r="J35" s="103"/>
      <c r="K35" s="103"/>
      <c r="L35" s="108"/>
      <c r="M35" s="108"/>
      <c r="N35" s="109"/>
    </row>
    <row r="36" spans="1:14" s="14" customFormat="1" ht="27" customHeight="1" x14ac:dyDescent="0.45">
      <c r="A36" s="113" t="s">
        <v>55</v>
      </c>
      <c r="B36" s="114">
        <v>100</v>
      </c>
      <c r="C36" s="90"/>
      <c r="D36" s="307" t="s">
        <v>56</v>
      </c>
      <c r="E36" s="325"/>
      <c r="F36" s="307" t="s">
        <v>57</v>
      </c>
      <c r="G36" s="308"/>
      <c r="J36" s="103"/>
      <c r="K36" s="103"/>
      <c r="L36" s="108"/>
      <c r="M36" s="108"/>
      <c r="N36" s="109"/>
    </row>
    <row r="37" spans="1:14" s="14" customFormat="1" ht="27" customHeight="1" x14ac:dyDescent="0.45">
      <c r="A37" s="115" t="s">
        <v>58</v>
      </c>
      <c r="B37" s="116">
        <v>1</v>
      </c>
      <c r="C37" s="117" t="s">
        <v>59</v>
      </c>
      <c r="D37" s="118" t="s">
        <v>60</v>
      </c>
      <c r="E37" s="119" t="s">
        <v>61</v>
      </c>
      <c r="F37" s="118" t="s">
        <v>60</v>
      </c>
      <c r="G37" s="120" t="s">
        <v>61</v>
      </c>
      <c r="I37" s="121" t="s">
        <v>62</v>
      </c>
      <c r="J37" s="103"/>
      <c r="K37" s="103"/>
      <c r="L37" s="108"/>
      <c r="M37" s="108"/>
      <c r="N37" s="109"/>
    </row>
    <row r="38" spans="1:14" s="14" customFormat="1" ht="26.25" customHeight="1" x14ac:dyDescent="0.45">
      <c r="A38" s="115" t="s">
        <v>63</v>
      </c>
      <c r="B38" s="116">
        <v>1</v>
      </c>
      <c r="C38" s="122">
        <v>1</v>
      </c>
      <c r="D38" s="123">
        <v>138455493</v>
      </c>
      <c r="E38" s="124">
        <f>IF(ISBLANK(D38),"-",$D$48/$D$45*D38)</f>
        <v>156167614.70013928</v>
      </c>
      <c r="F38" s="123">
        <v>153493900</v>
      </c>
      <c r="G38" s="125">
        <f>IF(ISBLANK(F38),"-",$D$48/$F$45*F38)</f>
        <v>156697977.18760428</v>
      </c>
      <c r="I38" s="126"/>
      <c r="J38" s="103"/>
      <c r="K38" s="103"/>
      <c r="L38" s="108"/>
      <c r="M38" s="108"/>
      <c r="N38" s="109"/>
    </row>
    <row r="39" spans="1:14" s="14" customFormat="1" ht="26.25" customHeight="1" x14ac:dyDescent="0.45">
      <c r="A39" s="115" t="s">
        <v>64</v>
      </c>
      <c r="B39" s="116">
        <v>1</v>
      </c>
      <c r="C39" s="127">
        <v>2</v>
      </c>
      <c r="D39" s="128">
        <v>138920397</v>
      </c>
      <c r="E39" s="129">
        <f>IF(ISBLANK(D39),"-",$D$48/$D$45*D39)</f>
        <v>156691992.22515777</v>
      </c>
      <c r="F39" s="128">
        <v>153328234</v>
      </c>
      <c r="G39" s="130">
        <f>IF(ISBLANK(F39),"-",$D$48/$F$45*F39)</f>
        <v>156528853.0263916</v>
      </c>
      <c r="I39" s="309">
        <f>ABS((F43/D43*D42)-F42)/D42</f>
        <v>3.2083941578559173E-4</v>
      </c>
      <c r="J39" s="103"/>
      <c r="K39" s="103"/>
      <c r="L39" s="108"/>
      <c r="M39" s="108"/>
      <c r="N39" s="109"/>
    </row>
    <row r="40" spans="1:14" ht="26.25" customHeight="1" x14ac:dyDescent="0.45">
      <c r="A40" s="115" t="s">
        <v>65</v>
      </c>
      <c r="B40" s="116">
        <v>1</v>
      </c>
      <c r="C40" s="127">
        <v>3</v>
      </c>
      <c r="D40" s="128">
        <v>139019958</v>
      </c>
      <c r="E40" s="129">
        <f>IF(ISBLANK(D40),"-",$D$48/$D$45*D40)</f>
        <v>156804289.71188271</v>
      </c>
      <c r="F40" s="128">
        <v>153104728</v>
      </c>
      <c r="G40" s="130">
        <f>IF(ISBLANK(F40),"-",$D$48/$F$45*F40)</f>
        <v>156300681.49586633</v>
      </c>
      <c r="I40" s="309"/>
      <c r="L40" s="108"/>
      <c r="M40" s="108"/>
      <c r="N40" s="131"/>
    </row>
    <row r="41" spans="1:14" ht="27" customHeight="1" x14ac:dyDescent="0.45">
      <c r="A41" s="115" t="s">
        <v>66</v>
      </c>
      <c r="B41" s="116">
        <v>1</v>
      </c>
      <c r="C41" s="132">
        <v>4</v>
      </c>
      <c r="D41" s="133"/>
      <c r="E41" s="134" t="str">
        <f>IF(ISBLANK(D41),"-",$D$48/$D$45*D41)</f>
        <v>-</v>
      </c>
      <c r="F41" s="133"/>
      <c r="G41" s="135" t="str">
        <f>IF(ISBLANK(F41),"-",$D$48/$F$45*F41)</f>
        <v>-</v>
      </c>
      <c r="I41" s="136"/>
      <c r="L41" s="108"/>
      <c r="M41" s="108"/>
      <c r="N41" s="131"/>
    </row>
    <row r="42" spans="1:14" ht="27" customHeight="1" x14ac:dyDescent="0.45">
      <c r="A42" s="115" t="s">
        <v>67</v>
      </c>
      <c r="B42" s="116">
        <v>1</v>
      </c>
      <c r="C42" s="137" t="s">
        <v>68</v>
      </c>
      <c r="D42" s="138">
        <f>AVERAGE(D38:D41)</f>
        <v>138798616</v>
      </c>
      <c r="E42" s="139">
        <f>AVERAGE(E38:E41)</f>
        <v>156554632.21239325</v>
      </c>
      <c r="F42" s="138">
        <f>AVERAGE(F38:F41)</f>
        <v>153308954</v>
      </c>
      <c r="G42" s="140">
        <f>AVERAGE(G38:G41)</f>
        <v>156509170.56995407</v>
      </c>
      <c r="H42" s="141"/>
    </row>
    <row r="43" spans="1:14" ht="26.25" customHeight="1" x14ac:dyDescent="0.45">
      <c r="A43" s="115" t="s">
        <v>69</v>
      </c>
      <c r="B43" s="116">
        <v>1</v>
      </c>
      <c r="C43" s="142" t="s">
        <v>70</v>
      </c>
      <c r="D43" s="143">
        <v>19.739999999999998</v>
      </c>
      <c r="E43" s="131"/>
      <c r="F43" s="143">
        <v>21.81</v>
      </c>
      <c r="H43" s="141"/>
    </row>
    <row r="44" spans="1:14" ht="26.25" customHeight="1" x14ac:dyDescent="0.45">
      <c r="A44" s="115" t="s">
        <v>71</v>
      </c>
      <c r="B44" s="116">
        <v>1</v>
      </c>
      <c r="C44" s="144" t="s">
        <v>72</v>
      </c>
      <c r="D44" s="145">
        <f>D43*$B$34</f>
        <v>19.739999999999998</v>
      </c>
      <c r="E44" s="146"/>
      <c r="F44" s="145">
        <f>F43*$B$34</f>
        <v>21.81</v>
      </c>
      <c r="H44" s="141"/>
    </row>
    <row r="45" spans="1:14" ht="19.5" customHeight="1" x14ac:dyDescent="0.35">
      <c r="A45" s="115" t="s">
        <v>73</v>
      </c>
      <c r="B45" s="147">
        <f>(B44/B43)*(B42/B41)*(B40/B39)*(B38/B37)*B36</f>
        <v>100</v>
      </c>
      <c r="C45" s="144" t="s">
        <v>74</v>
      </c>
      <c r="D45" s="148">
        <f>D44*$B$30/100</f>
        <v>17.731652399999998</v>
      </c>
      <c r="E45" s="149"/>
      <c r="F45" s="148">
        <f>F44*$B$30/100</f>
        <v>19.591050599999996</v>
      </c>
      <c r="H45" s="141"/>
    </row>
    <row r="46" spans="1:14" ht="19.5" customHeight="1" x14ac:dyDescent="0.35">
      <c r="A46" s="295" t="s">
        <v>75</v>
      </c>
      <c r="B46" s="296"/>
      <c r="C46" s="144" t="s">
        <v>76</v>
      </c>
      <c r="D46" s="150">
        <f>D45/$B$45</f>
        <v>0.17731652399999998</v>
      </c>
      <c r="E46" s="151"/>
      <c r="F46" s="152">
        <f>F45/$B$45</f>
        <v>0.19591050599999996</v>
      </c>
      <c r="H46" s="141"/>
    </row>
    <row r="47" spans="1:14" ht="27" customHeight="1" x14ac:dyDescent="0.45">
      <c r="A47" s="297"/>
      <c r="B47" s="298"/>
      <c r="C47" s="153" t="s">
        <v>77</v>
      </c>
      <c r="D47" s="154">
        <v>0.2</v>
      </c>
      <c r="E47" s="155"/>
      <c r="F47" s="151"/>
      <c r="H47" s="141"/>
    </row>
    <row r="48" spans="1:14" ht="18" x14ac:dyDescent="0.35">
      <c r="C48" s="156" t="s">
        <v>78</v>
      </c>
      <c r="D48" s="148">
        <f>D47*$B$45</f>
        <v>20</v>
      </c>
      <c r="F48" s="157"/>
      <c r="H48" s="141"/>
    </row>
    <row r="49" spans="1:12" ht="19.5" customHeight="1" x14ac:dyDescent="0.35">
      <c r="C49" s="158" t="s">
        <v>79</v>
      </c>
      <c r="D49" s="159">
        <f>D48/B34</f>
        <v>20</v>
      </c>
      <c r="F49" s="157"/>
      <c r="H49" s="141"/>
    </row>
    <row r="50" spans="1:12" ht="18" x14ac:dyDescent="0.35">
      <c r="C50" s="113" t="s">
        <v>80</v>
      </c>
      <c r="D50" s="160">
        <f>AVERAGE(E38:E41,G38:G41)</f>
        <v>156531901.39117366</v>
      </c>
      <c r="F50" s="161"/>
      <c r="H50" s="141"/>
    </row>
    <row r="51" spans="1:12" ht="18" x14ac:dyDescent="0.35">
      <c r="C51" s="115" t="s">
        <v>81</v>
      </c>
      <c r="D51" s="162">
        <f>STDEV(E38:E41,G38:G41)/D50</f>
        <v>1.5998820104051994E-3</v>
      </c>
      <c r="F51" s="161"/>
      <c r="H51" s="141"/>
    </row>
    <row r="52" spans="1:12" ht="19.5" customHeight="1" x14ac:dyDescent="0.35">
      <c r="C52" s="163" t="s">
        <v>20</v>
      </c>
      <c r="D52" s="164">
        <f>COUNT(E38:E41,G38:G41)</f>
        <v>6</v>
      </c>
      <c r="F52" s="161"/>
    </row>
    <row r="54" spans="1:12" ht="18" x14ac:dyDescent="0.35">
      <c r="A54" s="165" t="s">
        <v>1</v>
      </c>
      <c r="B54" s="166" t="s">
        <v>82</v>
      </c>
    </row>
    <row r="55" spans="1:12" ht="18" x14ac:dyDescent="0.35">
      <c r="A55" s="90" t="s">
        <v>83</v>
      </c>
      <c r="B55" s="167" t="str">
        <f>B21</f>
        <v>Each tablet contains cefixime trihydrate 400 mg</v>
      </c>
    </row>
    <row r="56" spans="1:12" ht="26.25" customHeight="1" x14ac:dyDescent="0.45">
      <c r="A56" s="168" t="s">
        <v>84</v>
      </c>
      <c r="B56" s="169">
        <v>400</v>
      </c>
      <c r="C56" s="90" t="str">
        <f>B20</f>
        <v xml:space="preserve">Cefixime trihydrate USP </v>
      </c>
      <c r="H56" s="170"/>
    </row>
    <row r="57" spans="1:12" ht="18" x14ac:dyDescent="0.35">
      <c r="A57" s="167" t="s">
        <v>123</v>
      </c>
      <c r="B57" s="249">
        <f>Uniformity!C46</f>
        <v>829.25249999999994</v>
      </c>
      <c r="H57" s="170"/>
    </row>
    <row r="58" spans="1:12" ht="19.5" customHeight="1" x14ac:dyDescent="0.35">
      <c r="H58" s="170"/>
    </row>
    <row r="59" spans="1:12" s="14" customFormat="1" ht="27" customHeight="1" x14ac:dyDescent="0.45">
      <c r="A59" s="113" t="s">
        <v>85</v>
      </c>
      <c r="B59" s="114">
        <v>100</v>
      </c>
      <c r="C59" s="90"/>
      <c r="D59" s="171" t="s">
        <v>86</v>
      </c>
      <c r="E59" s="172" t="s">
        <v>59</v>
      </c>
      <c r="F59" s="172" t="s">
        <v>60</v>
      </c>
      <c r="G59" s="172" t="s">
        <v>87</v>
      </c>
      <c r="H59" s="117" t="s">
        <v>88</v>
      </c>
      <c r="L59" s="103"/>
    </row>
    <row r="60" spans="1:12" s="14" customFormat="1" ht="26.25" customHeight="1" x14ac:dyDescent="0.45">
      <c r="A60" s="115" t="s">
        <v>89</v>
      </c>
      <c r="B60" s="116">
        <v>5</v>
      </c>
      <c r="C60" s="312" t="s">
        <v>90</v>
      </c>
      <c r="D60" s="315">
        <v>406.97</v>
      </c>
      <c r="E60" s="173">
        <v>1</v>
      </c>
      <c r="F60" s="174">
        <v>156284033</v>
      </c>
      <c r="G60" s="250">
        <f>IF(ISBLANK(F60),"-",(F60/$D$50*$D$47*$B$68)*($B$57/$D$60))</f>
        <v>406.87980834083271</v>
      </c>
      <c r="H60" s="175">
        <f t="shared" ref="H60:H71" si="0">IF(ISBLANK(F60),"-",G60/$B$56)</f>
        <v>1.0171995208520819</v>
      </c>
      <c r="L60" s="103"/>
    </row>
    <row r="61" spans="1:12" s="14" customFormat="1" ht="26.25" customHeight="1" x14ac:dyDescent="0.45">
      <c r="A61" s="115" t="s">
        <v>91</v>
      </c>
      <c r="B61" s="116">
        <v>50</v>
      </c>
      <c r="C61" s="313"/>
      <c r="D61" s="316"/>
      <c r="E61" s="176">
        <v>2</v>
      </c>
      <c r="F61" s="128">
        <v>156090329</v>
      </c>
      <c r="G61" s="251">
        <f>IF(ISBLANK(F61),"-",(F61/$D$50*$D$47*$B$68)*($B$57/$D$60))</f>
        <v>406.37550700638451</v>
      </c>
      <c r="H61" s="177">
        <f t="shared" si="0"/>
        <v>1.0159387675159612</v>
      </c>
      <c r="L61" s="103"/>
    </row>
    <row r="62" spans="1:12" s="14" customFormat="1" ht="26.25" customHeight="1" x14ac:dyDescent="0.45">
      <c r="A62" s="115" t="s">
        <v>92</v>
      </c>
      <c r="B62" s="116">
        <v>1</v>
      </c>
      <c r="C62" s="313"/>
      <c r="D62" s="316"/>
      <c r="E62" s="176">
        <v>3</v>
      </c>
      <c r="F62" s="178">
        <v>156045578</v>
      </c>
      <c r="G62" s="251">
        <f>IF(ISBLANK(F62),"-",(F62/$D$50*$D$47*$B$68)*($B$57/$D$60))</f>
        <v>406.25899940190601</v>
      </c>
      <c r="H62" s="177">
        <f t="shared" si="0"/>
        <v>1.015647498504765</v>
      </c>
      <c r="L62" s="103"/>
    </row>
    <row r="63" spans="1:12" ht="27" customHeight="1" x14ac:dyDescent="0.45">
      <c r="A63" s="115" t="s">
        <v>93</v>
      </c>
      <c r="B63" s="116">
        <v>1</v>
      </c>
      <c r="C63" s="323"/>
      <c r="D63" s="317"/>
      <c r="E63" s="179">
        <v>4</v>
      </c>
      <c r="F63" s="180"/>
      <c r="G63" s="251" t="str">
        <f>IF(ISBLANK(F63),"-",(F63/$D$50*$D$47*$B$68)*($B$57/$D$60))</f>
        <v>-</v>
      </c>
      <c r="H63" s="177" t="str">
        <f t="shared" si="0"/>
        <v>-</v>
      </c>
    </row>
    <row r="64" spans="1:12" ht="26.25" customHeight="1" x14ac:dyDescent="0.45">
      <c r="A64" s="115" t="s">
        <v>94</v>
      </c>
      <c r="B64" s="116">
        <v>1</v>
      </c>
      <c r="C64" s="312" t="s">
        <v>95</v>
      </c>
      <c r="D64" s="315">
        <v>417.66</v>
      </c>
      <c r="E64" s="173">
        <v>1</v>
      </c>
      <c r="F64" s="174"/>
      <c r="G64" s="252" t="str">
        <f>IF(ISBLANK(F64),"-",(F64/$D$50*$D$47*$B$68)*($B$57/$D$64))</f>
        <v>-</v>
      </c>
      <c r="H64" s="181" t="str">
        <f t="shared" si="0"/>
        <v>-</v>
      </c>
    </row>
    <row r="65" spans="1:8" ht="26.25" customHeight="1" x14ac:dyDescent="0.45">
      <c r="A65" s="115" t="s">
        <v>96</v>
      </c>
      <c r="B65" s="116">
        <v>1</v>
      </c>
      <c r="C65" s="313"/>
      <c r="D65" s="316"/>
      <c r="E65" s="176">
        <v>2</v>
      </c>
      <c r="F65" s="128"/>
      <c r="G65" s="253" t="str">
        <f>IF(ISBLANK(F65),"-",(F65/$D$50*$D$47*$B$68)*($B$57/$D$64))</f>
        <v>-</v>
      </c>
      <c r="H65" s="182" t="str">
        <f t="shared" si="0"/>
        <v>-</v>
      </c>
    </row>
    <row r="66" spans="1:8" ht="26.25" customHeight="1" x14ac:dyDescent="0.45">
      <c r="A66" s="115" t="s">
        <v>97</v>
      </c>
      <c r="B66" s="116">
        <v>1</v>
      </c>
      <c r="C66" s="313"/>
      <c r="D66" s="316"/>
      <c r="E66" s="176">
        <v>3</v>
      </c>
      <c r="F66" s="128"/>
      <c r="G66" s="253" t="str">
        <f>IF(ISBLANK(F66),"-",(F66/$D$50*$D$47*$B$68)*($B$57/$D$64))</f>
        <v>-</v>
      </c>
      <c r="H66" s="182" t="str">
        <f t="shared" si="0"/>
        <v>-</v>
      </c>
    </row>
    <row r="67" spans="1:8" ht="27" customHeight="1" x14ac:dyDescent="0.45">
      <c r="A67" s="115" t="s">
        <v>98</v>
      </c>
      <c r="B67" s="116">
        <v>1</v>
      </c>
      <c r="C67" s="323"/>
      <c r="D67" s="317"/>
      <c r="E67" s="179">
        <v>4</v>
      </c>
      <c r="F67" s="180"/>
      <c r="G67" s="254" t="str">
        <f>IF(ISBLANK(F67),"-",(F67/$D$50*$D$47*$B$68)*($B$57/$D$64))</f>
        <v>-</v>
      </c>
      <c r="H67" s="183" t="str">
        <f t="shared" si="0"/>
        <v>-</v>
      </c>
    </row>
    <row r="68" spans="1:8" ht="26.25" customHeight="1" x14ac:dyDescent="0.5">
      <c r="A68" s="115" t="s">
        <v>99</v>
      </c>
      <c r="B68" s="184">
        <f>(B67/B66)*(B65/B64)*(B63/B62)*(B61/B60)*B59</f>
        <v>1000</v>
      </c>
      <c r="C68" s="312" t="s">
        <v>100</v>
      </c>
      <c r="D68" s="315">
        <v>463.82</v>
      </c>
      <c r="E68" s="173">
        <v>1</v>
      </c>
      <c r="F68" s="174">
        <v>173383499</v>
      </c>
      <c r="G68" s="252">
        <f>IF(ISBLANK(F68),"-",(F68/$D$50*$D$47*$B$68)*($B$57/$D$68))</f>
        <v>396.07024409248635</v>
      </c>
      <c r="H68" s="177">
        <f t="shared" si="0"/>
        <v>0.99017561023121592</v>
      </c>
    </row>
    <row r="69" spans="1:8" ht="27" customHeight="1" x14ac:dyDescent="0.5">
      <c r="A69" s="163" t="s">
        <v>101</v>
      </c>
      <c r="B69" s="185">
        <f>(D47*B68)/B56*B57</f>
        <v>414.62624999999997</v>
      </c>
      <c r="C69" s="313"/>
      <c r="D69" s="316"/>
      <c r="E69" s="176">
        <v>2</v>
      </c>
      <c r="F69" s="128">
        <v>173177555</v>
      </c>
      <c r="G69" s="253">
        <f>IF(ISBLANK(F69),"-",(F69/$D$50*$D$47*$B$68)*($B$57/$D$68))</f>
        <v>395.59979395842032</v>
      </c>
      <c r="H69" s="177">
        <f t="shared" si="0"/>
        <v>0.98899948489605083</v>
      </c>
    </row>
    <row r="70" spans="1:8" ht="26.25" customHeight="1" x14ac:dyDescent="0.45">
      <c r="A70" s="318" t="s">
        <v>75</v>
      </c>
      <c r="B70" s="319"/>
      <c r="C70" s="313"/>
      <c r="D70" s="316"/>
      <c r="E70" s="176">
        <v>3</v>
      </c>
      <c r="F70" s="128">
        <v>173085154</v>
      </c>
      <c r="G70" s="253">
        <f>IF(ISBLANK(F70),"-",(F70/$D$50*$D$47*$B$68)*($B$57/$D$68))</f>
        <v>395.38871685572337</v>
      </c>
      <c r="H70" s="177">
        <f t="shared" si="0"/>
        <v>0.98847179213930847</v>
      </c>
    </row>
    <row r="71" spans="1:8" ht="27" customHeight="1" x14ac:dyDescent="0.45">
      <c r="A71" s="320"/>
      <c r="B71" s="321"/>
      <c r="C71" s="314"/>
      <c r="D71" s="317"/>
      <c r="E71" s="179">
        <v>4</v>
      </c>
      <c r="F71" s="180"/>
      <c r="G71" s="254" t="str">
        <f>IF(ISBLANK(F71),"-",(F71/$D$50*$D$47*$B$68)*($B$57/$D$68))</f>
        <v>-</v>
      </c>
      <c r="H71" s="186" t="str">
        <f t="shared" si="0"/>
        <v>-</v>
      </c>
    </row>
    <row r="72" spans="1:8" ht="26.25" customHeight="1" x14ac:dyDescent="0.45">
      <c r="A72" s="187"/>
      <c r="B72" s="187"/>
      <c r="C72" s="187"/>
      <c r="D72" s="187"/>
      <c r="E72" s="187"/>
      <c r="F72" s="189" t="s">
        <v>68</v>
      </c>
      <c r="G72" s="259">
        <f>AVERAGE(G60:G71)</f>
        <v>401.09551160929226</v>
      </c>
      <c r="H72" s="190">
        <f>AVERAGE(H60:H71)</f>
        <v>1.0027387790232305</v>
      </c>
    </row>
    <row r="73" spans="1:8" ht="26.25" customHeight="1" x14ac:dyDescent="0.45">
      <c r="C73" s="187"/>
      <c r="D73" s="187"/>
      <c r="E73" s="187"/>
      <c r="F73" s="191" t="s">
        <v>81</v>
      </c>
      <c r="G73" s="255">
        <f>STDEV(G60:G71)/G72</f>
        <v>1.4792800435291961E-2</v>
      </c>
      <c r="H73" s="255">
        <f>STDEV(H60:H71)/H72</f>
        <v>1.4792800435291952E-2</v>
      </c>
    </row>
    <row r="74" spans="1:8" ht="27" customHeight="1" x14ac:dyDescent="0.45">
      <c r="A74" s="187"/>
      <c r="B74" s="187"/>
      <c r="C74" s="188"/>
      <c r="D74" s="188"/>
      <c r="E74" s="192"/>
      <c r="F74" s="193" t="s">
        <v>20</v>
      </c>
      <c r="G74" s="194">
        <f>COUNT(G60:G71)</f>
        <v>6</v>
      </c>
      <c r="H74" s="194">
        <f>COUNT(H60:H71)</f>
        <v>6</v>
      </c>
    </row>
    <row r="76" spans="1:8" ht="26.25" customHeight="1" x14ac:dyDescent="0.45">
      <c r="A76" s="99" t="s">
        <v>102</v>
      </c>
      <c r="B76" s="195" t="s">
        <v>103</v>
      </c>
      <c r="C76" s="299" t="str">
        <f>B20</f>
        <v xml:space="preserve">Cefixime trihydrate USP </v>
      </c>
      <c r="D76" s="299"/>
      <c r="E76" s="196" t="s">
        <v>104</v>
      </c>
      <c r="F76" s="196"/>
      <c r="G76" s="197">
        <f>H72</f>
        <v>1.0027387790232305</v>
      </c>
      <c r="H76" s="198"/>
    </row>
    <row r="77" spans="1:8" ht="18" x14ac:dyDescent="0.35">
      <c r="A77" s="98" t="s">
        <v>105</v>
      </c>
      <c r="B77" s="98" t="s">
        <v>106</v>
      </c>
    </row>
    <row r="78" spans="1:8" ht="18" x14ac:dyDescent="0.35">
      <c r="A78" s="98"/>
      <c r="B78" s="98"/>
    </row>
    <row r="79" spans="1:8" ht="26.25" customHeight="1" x14ac:dyDescent="0.45">
      <c r="A79" s="99" t="s">
        <v>4</v>
      </c>
      <c r="B79" s="322" t="str">
        <f>B26</f>
        <v>Cefixime</v>
      </c>
      <c r="C79" s="322"/>
    </row>
    <row r="80" spans="1:8" ht="26.25" customHeight="1" x14ac:dyDescent="0.45">
      <c r="A80" s="100" t="s">
        <v>45</v>
      </c>
      <c r="B80" s="322" t="str">
        <f>B27</f>
        <v>C49-1</v>
      </c>
      <c r="C80" s="322"/>
    </row>
    <row r="81" spans="1:12" ht="27" customHeight="1" x14ac:dyDescent="0.45">
      <c r="A81" s="100" t="s">
        <v>6</v>
      </c>
      <c r="B81" s="199">
        <f>B28</f>
        <v>99.536000000000001</v>
      </c>
    </row>
    <row r="82" spans="1:12" s="14" customFormat="1" ht="27" customHeight="1" x14ac:dyDescent="0.5">
      <c r="A82" s="100" t="s">
        <v>46</v>
      </c>
      <c r="B82" s="102">
        <v>9.7100000000000009</v>
      </c>
      <c r="C82" s="301" t="s">
        <v>47</v>
      </c>
      <c r="D82" s="302"/>
      <c r="E82" s="302"/>
      <c r="F82" s="302"/>
      <c r="G82" s="303"/>
      <c r="I82" s="103"/>
      <c r="J82" s="103"/>
      <c r="K82" s="103"/>
      <c r="L82" s="103"/>
    </row>
    <row r="83" spans="1:12" s="14" customFormat="1" ht="19.5" customHeight="1" x14ac:dyDescent="0.35">
      <c r="A83" s="100" t="s">
        <v>48</v>
      </c>
      <c r="B83" s="104">
        <f>B81-B82</f>
        <v>89.825999999999993</v>
      </c>
      <c r="C83" s="105"/>
      <c r="D83" s="105"/>
      <c r="E83" s="105"/>
      <c r="F83" s="105"/>
      <c r="G83" s="106"/>
      <c r="I83" s="103"/>
      <c r="J83" s="103"/>
      <c r="K83" s="103"/>
      <c r="L83" s="103"/>
    </row>
    <row r="84" spans="1:12" s="14" customFormat="1" ht="27" customHeight="1" x14ac:dyDescent="0.45">
      <c r="A84" s="100" t="s">
        <v>49</v>
      </c>
      <c r="B84" s="107">
        <v>1</v>
      </c>
      <c r="C84" s="304" t="s">
        <v>107</v>
      </c>
      <c r="D84" s="305"/>
      <c r="E84" s="305"/>
      <c r="F84" s="305"/>
      <c r="G84" s="305"/>
      <c r="H84" s="306"/>
      <c r="I84" s="103"/>
      <c r="J84" s="103"/>
      <c r="K84" s="103"/>
      <c r="L84" s="103"/>
    </row>
    <row r="85" spans="1:12" s="14" customFormat="1" ht="27" customHeight="1" x14ac:dyDescent="0.45">
      <c r="A85" s="100" t="s">
        <v>51</v>
      </c>
      <c r="B85" s="107">
        <v>1</v>
      </c>
      <c r="C85" s="304" t="s">
        <v>108</v>
      </c>
      <c r="D85" s="305"/>
      <c r="E85" s="305"/>
      <c r="F85" s="305"/>
      <c r="G85" s="305"/>
      <c r="H85" s="306"/>
      <c r="I85" s="103"/>
      <c r="J85" s="103"/>
      <c r="K85" s="103"/>
      <c r="L85" s="103"/>
    </row>
    <row r="86" spans="1:12" s="14" customFormat="1" ht="18" x14ac:dyDescent="0.35">
      <c r="A86" s="100"/>
      <c r="B86" s="110"/>
      <c r="C86" s="111"/>
      <c r="D86" s="111"/>
      <c r="E86" s="111"/>
      <c r="F86" s="111"/>
      <c r="G86" s="111"/>
      <c r="H86" s="111"/>
      <c r="I86" s="103"/>
      <c r="J86" s="103"/>
      <c r="K86" s="103"/>
      <c r="L86" s="103"/>
    </row>
    <row r="87" spans="1:12" s="14" customFormat="1" ht="18" x14ac:dyDescent="0.35">
      <c r="A87" s="100" t="s">
        <v>53</v>
      </c>
      <c r="B87" s="112">
        <f>B84/B85</f>
        <v>1</v>
      </c>
      <c r="C87" s="90" t="s">
        <v>54</v>
      </c>
      <c r="D87" s="90"/>
      <c r="E87" s="90"/>
      <c r="F87" s="90"/>
      <c r="G87" s="90"/>
      <c r="I87" s="103"/>
      <c r="J87" s="103"/>
      <c r="K87" s="103"/>
      <c r="L87" s="103"/>
    </row>
    <row r="88" spans="1:12" ht="19.5" customHeight="1" x14ac:dyDescent="0.35">
      <c r="A88" s="98"/>
      <c r="B88" s="98"/>
    </row>
    <row r="89" spans="1:12" ht="27" customHeight="1" x14ac:dyDescent="0.45">
      <c r="A89" s="113" t="s">
        <v>55</v>
      </c>
      <c r="B89" s="114">
        <v>100</v>
      </c>
      <c r="D89" s="200" t="s">
        <v>56</v>
      </c>
      <c r="E89" s="201"/>
      <c r="F89" s="307" t="s">
        <v>57</v>
      </c>
      <c r="G89" s="308"/>
    </row>
    <row r="90" spans="1:12" ht="27" customHeight="1" x14ac:dyDescent="0.45">
      <c r="A90" s="115" t="s">
        <v>58</v>
      </c>
      <c r="B90" s="116">
        <v>3</v>
      </c>
      <c r="C90" s="202" t="s">
        <v>126</v>
      </c>
      <c r="D90" s="118" t="s">
        <v>60</v>
      </c>
      <c r="E90" s="119" t="s">
        <v>61</v>
      </c>
      <c r="F90" s="118" t="s">
        <v>60</v>
      </c>
      <c r="G90" s="203" t="s">
        <v>61</v>
      </c>
      <c r="I90" s="121" t="s">
        <v>62</v>
      </c>
    </row>
    <row r="91" spans="1:12" ht="26.25" customHeight="1" x14ac:dyDescent="0.45">
      <c r="A91" s="115" t="s">
        <v>63</v>
      </c>
      <c r="B91" s="116">
        <v>50</v>
      </c>
      <c r="C91" s="204">
        <v>1</v>
      </c>
      <c r="D91" s="338">
        <v>0.5363</v>
      </c>
      <c r="E91" s="256">
        <f>IF(ISBLANK(D91),"-",$D$101/$D$98*D91)</f>
        <v>0.66805770656310048</v>
      </c>
      <c r="F91" s="338">
        <v>0.60029999999999994</v>
      </c>
      <c r="G91" s="339">
        <f>IF(ISBLANK(F91),"-",$D$101/$F$98*F91)</f>
        <v>0.69755444001924427</v>
      </c>
      <c r="I91" s="126"/>
    </row>
    <row r="92" spans="1:12" ht="26.25" customHeight="1" x14ac:dyDescent="0.45">
      <c r="A92" s="115" t="s">
        <v>64</v>
      </c>
      <c r="B92" s="116">
        <v>1</v>
      </c>
      <c r="C92" s="188">
        <v>2</v>
      </c>
      <c r="D92" s="340">
        <v>0.5363</v>
      </c>
      <c r="E92" s="257">
        <f>IF(ISBLANK(D92),"-",$D$101/$D$98*D92)</f>
        <v>0.66805770656310048</v>
      </c>
      <c r="F92" s="340">
        <v>0.58879999999999999</v>
      </c>
      <c r="G92" s="341">
        <f>IF(ISBLANK(F92),"-",$D$101/$F$98*F92)</f>
        <v>0.68419132814148098</v>
      </c>
      <c r="I92" s="309">
        <f>ABS((F96/D96*D95)-F95)/D95</f>
        <v>3.634068805742996E-2</v>
      </c>
    </row>
    <row r="93" spans="1:12" ht="26.25" customHeight="1" x14ac:dyDescent="0.45">
      <c r="A93" s="115" t="s">
        <v>65</v>
      </c>
      <c r="B93" s="116">
        <v>1</v>
      </c>
      <c r="C93" s="188">
        <v>3</v>
      </c>
      <c r="D93" s="340">
        <v>0.53800000000000003</v>
      </c>
      <c r="E93" s="257">
        <f>IF(ISBLANK(D93),"-",$D$101/$D$98*D93)</f>
        <v>0.67017536104968878</v>
      </c>
      <c r="F93" s="340">
        <v>0.59599999999999997</v>
      </c>
      <c r="G93" s="341">
        <f>IF(ISBLANK(F93),"-",$D$101/$F$98*F93)</f>
        <v>0.69255779818668928</v>
      </c>
      <c r="I93" s="309"/>
    </row>
    <row r="94" spans="1:12" ht="27" customHeight="1" x14ac:dyDescent="0.45">
      <c r="A94" s="115" t="s">
        <v>66</v>
      </c>
      <c r="B94" s="116">
        <v>1</v>
      </c>
      <c r="C94" s="205">
        <v>4</v>
      </c>
      <c r="D94" s="342"/>
      <c r="E94" s="258" t="str">
        <f>IF(ISBLANK(D94),"-",$D$101/$D$98*D94)</f>
        <v>-</v>
      </c>
      <c r="F94" s="342"/>
      <c r="G94" s="343" t="str">
        <f>IF(ISBLANK(F94),"-",$D$101/$F$98*F94)</f>
        <v>-</v>
      </c>
      <c r="I94" s="136"/>
    </row>
    <row r="95" spans="1:12" ht="27" customHeight="1" x14ac:dyDescent="0.45">
      <c r="A95" s="115" t="s">
        <v>67</v>
      </c>
      <c r="B95" s="116">
        <v>1</v>
      </c>
      <c r="C95" s="206" t="s">
        <v>68</v>
      </c>
      <c r="D95" s="344">
        <f>AVERAGE(D91:D94)</f>
        <v>0.53686666666666671</v>
      </c>
      <c r="E95" s="345">
        <f>AVERAGE(E91:E94)</f>
        <v>0.66876359139196317</v>
      </c>
      <c r="F95" s="346">
        <f>AVERAGE(F91:F94)</f>
        <v>0.5950333333333333</v>
      </c>
      <c r="G95" s="347">
        <f>AVERAGE(G91:G94)</f>
        <v>0.69143452211580492</v>
      </c>
    </row>
    <row r="96" spans="1:12" ht="26.25" customHeight="1" x14ac:dyDescent="0.45">
      <c r="A96" s="115" t="s">
        <v>69</v>
      </c>
      <c r="B96" s="101">
        <v>1</v>
      </c>
      <c r="C96" s="207" t="s">
        <v>109</v>
      </c>
      <c r="D96" s="208">
        <v>19.86</v>
      </c>
      <c r="E96" s="131"/>
      <c r="F96" s="143">
        <v>21.29</v>
      </c>
    </row>
    <row r="97" spans="1:10" ht="26.25" customHeight="1" x14ac:dyDescent="0.45">
      <c r="A97" s="115" t="s">
        <v>71</v>
      </c>
      <c r="B97" s="101">
        <v>1</v>
      </c>
      <c r="C97" s="209" t="s">
        <v>110</v>
      </c>
      <c r="D97" s="210">
        <f>D96*$B$87</f>
        <v>19.86</v>
      </c>
      <c r="E97" s="146"/>
      <c r="F97" s="145">
        <f>F96*$B$87</f>
        <v>21.29</v>
      </c>
    </row>
    <row r="98" spans="1:10" ht="19.5" customHeight="1" x14ac:dyDescent="0.35">
      <c r="A98" s="115" t="s">
        <v>73</v>
      </c>
      <c r="B98" s="211">
        <f>(B97/B96)*(B95/B94)*(B93/B92)*(B91/B90)*B89</f>
        <v>1666.6666666666667</v>
      </c>
      <c r="C98" s="209" t="s">
        <v>111</v>
      </c>
      <c r="D98" s="212">
        <f>D97*$B$83/100</f>
        <v>17.839443599999996</v>
      </c>
      <c r="E98" s="149"/>
      <c r="F98" s="148">
        <f>F97*$B$83/100</f>
        <v>19.123955399999996</v>
      </c>
    </row>
    <row r="99" spans="1:10" ht="19.5" customHeight="1" x14ac:dyDescent="0.35">
      <c r="A99" s="295" t="s">
        <v>75</v>
      </c>
      <c r="B99" s="310"/>
      <c r="C99" s="209" t="s">
        <v>112</v>
      </c>
      <c r="D99" s="213">
        <f>D98/$B$98</f>
        <v>1.0703666159999996E-2</v>
      </c>
      <c r="E99" s="149"/>
      <c r="F99" s="152">
        <f>F98/$B$98</f>
        <v>1.1474373239999997E-2</v>
      </c>
      <c r="G99" s="214"/>
      <c r="H99" s="141"/>
    </row>
    <row r="100" spans="1:10" ht="19.5" customHeight="1" x14ac:dyDescent="0.35">
      <c r="A100" s="297"/>
      <c r="B100" s="311"/>
      <c r="C100" s="209" t="s">
        <v>77</v>
      </c>
      <c r="D100" s="215">
        <f>$B$56/$B$116</f>
        <v>1.3333333333333332E-2</v>
      </c>
      <c r="F100" s="157"/>
      <c r="G100" s="216"/>
      <c r="H100" s="141"/>
    </row>
    <row r="101" spans="1:10" ht="18" x14ac:dyDescent="0.35">
      <c r="C101" s="209" t="s">
        <v>78</v>
      </c>
      <c r="D101" s="210">
        <f>D100*$B$98</f>
        <v>22.222222222222221</v>
      </c>
      <c r="F101" s="157"/>
      <c r="G101" s="214"/>
      <c r="H101" s="141"/>
    </row>
    <row r="102" spans="1:10" ht="19.5" customHeight="1" x14ac:dyDescent="0.35">
      <c r="C102" s="217" t="s">
        <v>79</v>
      </c>
      <c r="D102" s="218">
        <f>D101/B34</f>
        <v>22.222222222222221</v>
      </c>
      <c r="F102" s="161"/>
      <c r="G102" s="214"/>
      <c r="H102" s="141"/>
      <c r="J102" s="219"/>
    </row>
    <row r="103" spans="1:10" ht="18" x14ac:dyDescent="0.35">
      <c r="C103" s="220" t="s">
        <v>80</v>
      </c>
      <c r="D103" s="356">
        <f>AVERAGE(E91:E94,G91:G94)</f>
        <v>0.68009905675388405</v>
      </c>
      <c r="F103" s="161"/>
      <c r="G103" s="221"/>
      <c r="H103" s="141"/>
      <c r="J103" s="222"/>
    </row>
    <row r="104" spans="1:10" ht="18" x14ac:dyDescent="0.35">
      <c r="C104" s="191" t="s">
        <v>81</v>
      </c>
      <c r="D104" s="223">
        <f>STDEV(E91:E94,G91:G94)/D103</f>
        <v>1.9341151646885019E-2</v>
      </c>
      <c r="F104" s="161"/>
      <c r="G104" s="214"/>
      <c r="H104" s="141"/>
      <c r="J104" s="222"/>
    </row>
    <row r="105" spans="1:10" ht="19.5" customHeight="1" x14ac:dyDescent="0.35">
      <c r="C105" s="193" t="s">
        <v>20</v>
      </c>
      <c r="D105" s="224">
        <f>COUNT(E91:E94,G91:G94)</f>
        <v>6</v>
      </c>
      <c r="F105" s="161"/>
      <c r="G105" s="214"/>
      <c r="H105" s="141"/>
      <c r="J105" s="222"/>
    </row>
    <row r="106" spans="1:10" ht="19.5" customHeight="1" x14ac:dyDescent="0.35">
      <c r="A106" s="165"/>
      <c r="B106" s="165"/>
      <c r="C106" s="165"/>
      <c r="D106" s="165"/>
      <c r="E106" s="165"/>
    </row>
    <row r="107" spans="1:10" ht="26.25" customHeight="1" x14ac:dyDescent="0.45">
      <c r="A107" s="113" t="s">
        <v>113</v>
      </c>
      <c r="B107" s="114">
        <v>900</v>
      </c>
      <c r="C107" s="225" t="s">
        <v>127</v>
      </c>
      <c r="D107" s="226" t="s">
        <v>60</v>
      </c>
      <c r="E107" s="227" t="s">
        <v>114</v>
      </c>
      <c r="F107" s="228" t="s">
        <v>115</v>
      </c>
    </row>
    <row r="108" spans="1:10" ht="26.25" customHeight="1" x14ac:dyDescent="0.45">
      <c r="A108" s="115" t="s">
        <v>116</v>
      </c>
      <c r="B108" s="116">
        <v>3</v>
      </c>
      <c r="C108" s="229">
        <v>1</v>
      </c>
      <c r="D108" s="348">
        <v>0.67869999999999997</v>
      </c>
      <c r="E108" s="335">
        <f t="shared" ref="E108:E113" si="1">IF(ISBLANK(D108),"-",D108/$D$103*$D$100*$B$116)</f>
        <v>399.17714530553138</v>
      </c>
      <c r="F108" s="230">
        <f t="shared" ref="F108:F113" si="2">IF(ISBLANK(D108), "-", E108/$B$56)</f>
        <v>0.99794286326382842</v>
      </c>
    </row>
    <row r="109" spans="1:10" ht="26.25" customHeight="1" x14ac:dyDescent="0.45">
      <c r="A109" s="115" t="s">
        <v>91</v>
      </c>
      <c r="B109" s="116">
        <v>100</v>
      </c>
      <c r="C109" s="229">
        <v>2</v>
      </c>
      <c r="D109" s="348">
        <v>0.71060000000000001</v>
      </c>
      <c r="E109" s="336">
        <f t="shared" si="1"/>
        <v>417.93911809947048</v>
      </c>
      <c r="F109" s="231">
        <f t="shared" si="2"/>
        <v>1.0448477952486761</v>
      </c>
    </row>
    <row r="110" spans="1:10" ht="26.25" customHeight="1" x14ac:dyDescent="0.45">
      <c r="A110" s="115" t="s">
        <v>92</v>
      </c>
      <c r="B110" s="116">
        <v>1</v>
      </c>
      <c r="C110" s="229">
        <v>3</v>
      </c>
      <c r="D110" s="348">
        <v>0.67769999999999997</v>
      </c>
      <c r="E110" s="336">
        <f t="shared" si="1"/>
        <v>398.58899568816651</v>
      </c>
      <c r="F110" s="231">
        <f t="shared" si="2"/>
        <v>0.99647248922041631</v>
      </c>
    </row>
    <row r="111" spans="1:10" ht="26.25" customHeight="1" x14ac:dyDescent="0.45">
      <c r="A111" s="115" t="s">
        <v>93</v>
      </c>
      <c r="B111" s="116">
        <v>1</v>
      </c>
      <c r="C111" s="229">
        <v>4</v>
      </c>
      <c r="D111" s="348">
        <v>0.70379999999999998</v>
      </c>
      <c r="E111" s="336">
        <f t="shared" si="1"/>
        <v>413.93970070138943</v>
      </c>
      <c r="F111" s="231">
        <f t="shared" si="2"/>
        <v>1.0348492517534735</v>
      </c>
    </row>
    <row r="112" spans="1:10" ht="26.25" customHeight="1" x14ac:dyDescent="0.45">
      <c r="A112" s="115" t="s">
        <v>94</v>
      </c>
      <c r="B112" s="116">
        <v>1</v>
      </c>
      <c r="C112" s="229">
        <v>5</v>
      </c>
      <c r="D112" s="348">
        <v>0.69750000000000001</v>
      </c>
      <c r="E112" s="336">
        <f t="shared" si="1"/>
        <v>410.23435811199084</v>
      </c>
      <c r="F112" s="231">
        <f t="shared" si="2"/>
        <v>1.025585895279977</v>
      </c>
    </row>
    <row r="113" spans="1:10" ht="26.25" customHeight="1" x14ac:dyDescent="0.45">
      <c r="A113" s="115" t="s">
        <v>96</v>
      </c>
      <c r="B113" s="116">
        <v>1</v>
      </c>
      <c r="C113" s="232">
        <v>6</v>
      </c>
      <c r="D113" s="349">
        <v>0.67310000000000003</v>
      </c>
      <c r="E113" s="337">
        <f t="shared" si="1"/>
        <v>395.88350744828819</v>
      </c>
      <c r="F113" s="233">
        <f t="shared" si="2"/>
        <v>0.98970876862072044</v>
      </c>
    </row>
    <row r="114" spans="1:10" ht="26.25" customHeight="1" x14ac:dyDescent="0.45">
      <c r="A114" s="115" t="s">
        <v>97</v>
      </c>
      <c r="B114" s="116">
        <v>1</v>
      </c>
      <c r="C114" s="229"/>
      <c r="D114" s="188"/>
      <c r="E114" s="89"/>
      <c r="F114" s="234"/>
    </row>
    <row r="115" spans="1:10" ht="26.25" customHeight="1" x14ac:dyDescent="0.45">
      <c r="A115" s="115" t="s">
        <v>98</v>
      </c>
      <c r="B115" s="116">
        <v>1</v>
      </c>
      <c r="C115" s="229"/>
      <c r="D115" s="353" t="s">
        <v>68</v>
      </c>
      <c r="E115" s="350">
        <f>AVERAGE(E108:E113)</f>
        <v>405.96047089247281</v>
      </c>
      <c r="F115" s="235">
        <f>AVERAGE(F108:F113)</f>
        <v>1.014901177231182</v>
      </c>
    </row>
    <row r="116" spans="1:10" ht="27" customHeight="1" x14ac:dyDescent="0.45">
      <c r="A116" s="115" t="s">
        <v>99</v>
      </c>
      <c r="B116" s="147">
        <f>(B115/B114)*(B113/B112)*(B111/B110)*(B109/B108)*B107</f>
        <v>30000.000000000004</v>
      </c>
      <c r="C116" s="236"/>
      <c r="D116" s="354" t="s">
        <v>81</v>
      </c>
      <c r="E116" s="351">
        <f>STDEV(E108:E113)/E115</f>
        <v>2.2772338645848621E-2</v>
      </c>
      <c r="F116" s="351">
        <f>STDEV(F108:F113)/F115</f>
        <v>2.2772338645848586E-2</v>
      </c>
      <c r="I116" s="89"/>
    </row>
    <row r="117" spans="1:10" ht="27" customHeight="1" x14ac:dyDescent="0.45">
      <c r="A117" s="295" t="s">
        <v>75</v>
      </c>
      <c r="B117" s="296"/>
      <c r="C117" s="237"/>
      <c r="D117" s="355" t="s">
        <v>20</v>
      </c>
      <c r="E117" s="352">
        <f>COUNT(E108:E113)</f>
        <v>6</v>
      </c>
      <c r="F117" s="238">
        <f>COUNT(F108:F113)</f>
        <v>6</v>
      </c>
      <c r="I117" s="89"/>
      <c r="J117" s="222"/>
    </row>
    <row r="118" spans="1:10" ht="19.5" customHeight="1" x14ac:dyDescent="0.35">
      <c r="A118" s="297"/>
      <c r="B118" s="298"/>
      <c r="C118" s="89"/>
      <c r="D118" s="89"/>
      <c r="E118" s="89"/>
      <c r="F118" s="188"/>
      <c r="G118" s="89"/>
      <c r="H118" s="89"/>
      <c r="I118" s="89"/>
    </row>
    <row r="119" spans="1:10" ht="18" x14ac:dyDescent="0.35">
      <c r="A119" s="247"/>
      <c r="B119" s="111"/>
      <c r="C119" s="89"/>
      <c r="D119" s="89"/>
      <c r="E119" s="89"/>
      <c r="F119" s="188"/>
      <c r="G119" s="89"/>
      <c r="H119" s="89"/>
      <c r="I119" s="89"/>
    </row>
    <row r="120" spans="1:10" ht="26.25" customHeight="1" x14ac:dyDescent="0.45">
      <c r="A120" s="99" t="s">
        <v>102</v>
      </c>
      <c r="B120" s="195" t="s">
        <v>117</v>
      </c>
      <c r="C120" s="299" t="str">
        <f>B26</f>
        <v>Cefixime</v>
      </c>
      <c r="D120" s="299"/>
      <c r="E120" s="196" t="s">
        <v>118</v>
      </c>
      <c r="F120" s="196"/>
      <c r="G120" s="197">
        <f>F115</f>
        <v>1.014901177231182</v>
      </c>
      <c r="H120" s="89"/>
      <c r="I120" s="89"/>
    </row>
    <row r="121" spans="1:10" ht="19.5" customHeight="1" x14ac:dyDescent="0.35">
      <c r="A121" s="239"/>
      <c r="B121" s="239"/>
      <c r="C121" s="240"/>
      <c r="D121" s="240"/>
      <c r="E121" s="240"/>
      <c r="F121" s="240"/>
      <c r="G121" s="240"/>
      <c r="H121" s="240"/>
    </row>
    <row r="122" spans="1:10" ht="18" x14ac:dyDescent="0.35">
      <c r="B122" s="300" t="s">
        <v>23</v>
      </c>
      <c r="C122" s="300"/>
      <c r="E122" s="202" t="s">
        <v>24</v>
      </c>
      <c r="F122" s="241"/>
      <c r="G122" s="300" t="s">
        <v>25</v>
      </c>
      <c r="H122" s="300"/>
    </row>
    <row r="123" spans="1:10" ht="69.900000000000006" customHeight="1" x14ac:dyDescent="0.35">
      <c r="A123" s="242" t="s">
        <v>26</v>
      </c>
      <c r="B123" s="243"/>
      <c r="C123" s="243"/>
      <c r="E123" s="243"/>
      <c r="F123" s="89"/>
      <c r="G123" s="244"/>
      <c r="H123" s="244"/>
    </row>
    <row r="124" spans="1:10" ht="69.900000000000006" customHeight="1" x14ac:dyDescent="0.35">
      <c r="A124" s="242" t="s">
        <v>27</v>
      </c>
      <c r="B124" s="245"/>
      <c r="C124" s="245"/>
      <c r="E124" s="245"/>
      <c r="F124" s="89"/>
      <c r="G124" s="246"/>
      <c r="H124" s="246"/>
    </row>
    <row r="125" spans="1:10" ht="18" x14ac:dyDescent="0.35">
      <c r="A125" s="187"/>
      <c r="B125" s="187"/>
      <c r="C125" s="188"/>
      <c r="D125" s="188"/>
      <c r="E125" s="188"/>
      <c r="F125" s="192"/>
      <c r="G125" s="188"/>
      <c r="H125" s="188"/>
      <c r="I125" s="89"/>
    </row>
    <row r="126" spans="1:10" ht="18" x14ac:dyDescent="0.35">
      <c r="A126" s="187"/>
      <c r="B126" s="187"/>
      <c r="C126" s="188"/>
      <c r="D126" s="188"/>
      <c r="E126" s="188"/>
      <c r="F126" s="192"/>
      <c r="G126" s="188"/>
      <c r="H126" s="188"/>
      <c r="I126" s="89"/>
    </row>
    <row r="127" spans="1:10" ht="18" x14ac:dyDescent="0.35">
      <c r="A127" s="187"/>
      <c r="B127" s="187"/>
      <c r="C127" s="188"/>
      <c r="D127" s="188"/>
      <c r="E127" s="188"/>
      <c r="F127" s="192"/>
      <c r="G127" s="188"/>
      <c r="H127" s="188"/>
      <c r="I127" s="89"/>
    </row>
    <row r="128" spans="1:10" ht="18" x14ac:dyDescent="0.35">
      <c r="A128" s="187"/>
      <c r="B128" s="187"/>
      <c r="C128" s="188"/>
      <c r="D128" s="188"/>
      <c r="E128" s="188"/>
      <c r="F128" s="192"/>
      <c r="G128" s="188"/>
      <c r="H128" s="188"/>
      <c r="I128" s="89"/>
    </row>
    <row r="129" spans="1:9" ht="18" x14ac:dyDescent="0.35">
      <c r="A129" s="187"/>
      <c r="B129" s="187"/>
      <c r="C129" s="188"/>
      <c r="D129" s="188"/>
      <c r="E129" s="188"/>
      <c r="F129" s="192"/>
      <c r="G129" s="188"/>
      <c r="H129" s="188"/>
      <c r="I129" s="89"/>
    </row>
    <row r="130" spans="1:9" ht="18" x14ac:dyDescent="0.35">
      <c r="A130" s="187"/>
      <c r="B130" s="187"/>
      <c r="C130" s="188"/>
      <c r="D130" s="188"/>
      <c r="E130" s="188"/>
      <c r="F130" s="192"/>
      <c r="G130" s="188"/>
      <c r="H130" s="188"/>
      <c r="I130" s="89"/>
    </row>
    <row r="131" spans="1:9" ht="18" x14ac:dyDescent="0.35">
      <c r="A131" s="187"/>
      <c r="B131" s="187"/>
      <c r="C131" s="188"/>
      <c r="D131" s="188"/>
      <c r="E131" s="188"/>
      <c r="F131" s="192"/>
      <c r="G131" s="188"/>
      <c r="H131" s="188"/>
      <c r="I131" s="89"/>
    </row>
    <row r="132" spans="1:9" ht="18" x14ac:dyDescent="0.35">
      <c r="A132" s="187"/>
      <c r="B132" s="187"/>
      <c r="C132" s="188"/>
      <c r="D132" s="188"/>
      <c r="E132" s="188"/>
      <c r="F132" s="192"/>
      <c r="G132" s="188"/>
      <c r="H132" s="188"/>
      <c r="I132" s="89"/>
    </row>
    <row r="133" spans="1:9" ht="18" x14ac:dyDescent="0.35">
      <c r="A133" s="187"/>
      <c r="B133" s="187"/>
      <c r="C133" s="188"/>
      <c r="D133" s="188"/>
      <c r="E133" s="188"/>
      <c r="F133" s="192"/>
      <c r="G133" s="188"/>
      <c r="H133" s="188"/>
      <c r="I133" s="89"/>
    </row>
    <row r="250" spans="1:1" x14ac:dyDescent="0.3">
      <c r="A250" s="2">
        <v>5</v>
      </c>
    </row>
  </sheetData>
  <sheetProtection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rintOptions horizontalCentered="1"/>
  <pageMargins left="0.7" right="0.7" top="0.75" bottom="0.75" header="0.3" footer="0.3"/>
  <pageSetup scale="2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</vt:lpstr>
      <vt:lpstr>Uniformity</vt:lpstr>
      <vt:lpstr>CEFIXIME</vt:lpstr>
      <vt:lpstr>CEFIXIME!Print_Area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2016-07-19T08:05:29Z</cp:lastPrinted>
  <dcterms:created xsi:type="dcterms:W3CDTF">2005-07-05T10:19:27Z</dcterms:created>
  <dcterms:modified xsi:type="dcterms:W3CDTF">2016-07-19T08:07:34Z</dcterms:modified>
</cp:coreProperties>
</file>