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"/>
    </mc:Choice>
  </mc:AlternateContent>
  <bookViews>
    <workbookView xWindow="390" yWindow="525" windowWidth="20775" windowHeight="11445"/>
  </bookViews>
  <sheets>
    <sheet name="SST" sheetId="1" r:id="rId1"/>
    <sheet name="Uniformity" sheetId="2" r:id="rId2"/>
    <sheet name="omeprazole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K31" i="4" l="1"/>
  <c r="K27" i="4" l="1"/>
  <c r="K21" i="4"/>
  <c r="H36" i="4"/>
  <c r="F37" i="4"/>
  <c r="B21" i="1"/>
  <c r="I24" i="4"/>
  <c r="E33" i="4" l="1"/>
  <c r="B41" i="1"/>
  <c r="B42" i="1" s="1"/>
  <c r="C140" i="3" l="1"/>
  <c r="B136" i="3"/>
  <c r="D101" i="3" s="1"/>
  <c r="C123" i="3"/>
  <c r="B119" i="3"/>
  <c r="B99" i="3"/>
  <c r="F96" i="3"/>
  <c r="D96" i="3"/>
  <c r="G95" i="3"/>
  <c r="E95" i="3"/>
  <c r="B88" i="3"/>
  <c r="D98" i="3" s="1"/>
  <c r="B83" i="3"/>
  <c r="B82" i="3"/>
  <c r="B81" i="3"/>
  <c r="B80" i="3"/>
  <c r="C76" i="3"/>
  <c r="H71" i="3"/>
  <c r="G71" i="3"/>
  <c r="B68" i="3"/>
  <c r="H67" i="3"/>
  <c r="G67" i="3"/>
  <c r="H63" i="3"/>
  <c r="G63" i="3"/>
  <c r="G62" i="3"/>
  <c r="H62" i="3" s="1"/>
  <c r="G61" i="3"/>
  <c r="H61" i="3" s="1"/>
  <c r="G60" i="3"/>
  <c r="H60" i="3" s="1"/>
  <c r="C56" i="3"/>
  <c r="B55" i="3"/>
  <c r="B45" i="3"/>
  <c r="D48" i="3" s="1"/>
  <c r="F42" i="3"/>
  <c r="D42" i="3"/>
  <c r="G41" i="3"/>
  <c r="E41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F98" i="3"/>
  <c r="D49" i="3"/>
  <c r="B84" i="3"/>
  <c r="D102" i="3"/>
  <c r="D103" i="3" s="1"/>
  <c r="D99" i="3"/>
  <c r="F99" i="3"/>
  <c r="D45" i="3"/>
  <c r="F45" i="3"/>
  <c r="E29" i="2"/>
  <c r="E22" i="2"/>
  <c r="E26" i="2"/>
  <c r="E30" i="2"/>
  <c r="E34" i="2"/>
  <c r="E38" i="2"/>
  <c r="C48" i="2"/>
  <c r="D48" i="2"/>
  <c r="D47" i="2"/>
  <c r="B47" i="2"/>
  <c r="B57" i="3" s="1"/>
  <c r="B69" i="3" s="1"/>
  <c r="C47" i="2"/>
  <c r="E25" i="2"/>
  <c r="E37" i="2"/>
  <c r="E23" i="2"/>
  <c r="E27" i="2"/>
  <c r="E31" i="2"/>
  <c r="E35" i="2"/>
  <c r="E39" i="2"/>
  <c r="E33" i="2"/>
  <c r="E24" i="2"/>
  <c r="E28" i="2"/>
  <c r="E32" i="2"/>
  <c r="E36" i="2"/>
  <c r="E40" i="2"/>
  <c r="D42" i="2"/>
  <c r="E21" i="2"/>
  <c r="F100" i="3" l="1"/>
  <c r="G93" i="3"/>
  <c r="G92" i="3"/>
  <c r="G94" i="3"/>
  <c r="D100" i="3"/>
  <c r="E92" i="3"/>
  <c r="E93" i="3"/>
  <c r="E94" i="3"/>
  <c r="F46" i="3"/>
  <c r="G40" i="3"/>
  <c r="G39" i="3"/>
  <c r="G38" i="3"/>
  <c r="D46" i="3"/>
  <c r="E38" i="3"/>
  <c r="E39" i="3"/>
  <c r="E40" i="3"/>
  <c r="G96" i="3" l="1"/>
  <c r="E96" i="3"/>
  <c r="D106" i="3"/>
  <c r="D104" i="3"/>
  <c r="G42" i="3"/>
  <c r="E42" i="3"/>
  <c r="D50" i="3"/>
  <c r="D52" i="3"/>
  <c r="D51" i="3" l="1"/>
  <c r="G68" i="3"/>
  <c r="H68" i="3" s="1"/>
  <c r="G66" i="3"/>
  <c r="H66" i="3" s="1"/>
  <c r="G65" i="3"/>
  <c r="H65" i="3" s="1"/>
  <c r="G70" i="3"/>
  <c r="H70" i="3" s="1"/>
  <c r="G64" i="3"/>
  <c r="H64" i="3" s="1"/>
  <c r="G69" i="3"/>
  <c r="H69" i="3" s="1"/>
  <c r="E131" i="3"/>
  <c r="F131" i="3" s="1"/>
  <c r="E132" i="3"/>
  <c r="F132" i="3" s="1"/>
  <c r="E130" i="3"/>
  <c r="F130" i="3" s="1"/>
  <c r="E133" i="3"/>
  <c r="F133" i="3" s="1"/>
  <c r="E129" i="3"/>
  <c r="F129" i="3" s="1"/>
  <c r="E128" i="3"/>
  <c r="F128" i="3" s="1"/>
  <c r="D105" i="3"/>
  <c r="E116" i="3"/>
  <c r="F116" i="3" s="1"/>
  <c r="E112" i="3"/>
  <c r="F112" i="3" s="1"/>
  <c r="E115" i="3"/>
  <c r="F115" i="3" s="1"/>
  <c r="E114" i="3"/>
  <c r="F114" i="3" s="1"/>
  <c r="E113" i="3"/>
  <c r="F113" i="3" s="1"/>
  <c r="E111" i="3"/>
  <c r="F111" i="3" s="1"/>
  <c r="H74" i="3" l="1"/>
  <c r="H72" i="3"/>
  <c r="F135" i="3"/>
  <c r="F137" i="3"/>
  <c r="F118" i="3"/>
  <c r="F120" i="3"/>
  <c r="H73" i="3" l="1"/>
  <c r="G76" i="3"/>
  <c r="G140" i="3"/>
  <c r="F136" i="3"/>
  <c r="F119" i="3"/>
  <c r="G123" i="3"/>
</calcChain>
</file>

<file path=xl/sharedStrings.xml><?xml version="1.0" encoding="utf-8"?>
<sst xmlns="http://schemas.openxmlformats.org/spreadsheetml/2006/main" count="257" uniqueCount="124">
  <si>
    <t>HPLC System Suitability Report</t>
  </si>
  <si>
    <t>Analysis Data</t>
  </si>
  <si>
    <t>Assay</t>
  </si>
  <si>
    <t>Sample(s)</t>
  </si>
  <si>
    <t>Reference Substance:</t>
  </si>
  <si>
    <t>MYDAWA OMEPRAZOLE 20 CAPSULES</t>
  </si>
  <si>
    <t>% age Purity:</t>
  </si>
  <si>
    <t>NDQD2016061225</t>
  </si>
  <si>
    <t>Weight (mg):</t>
  </si>
  <si>
    <t xml:space="preserve">Omeprazole USP  </t>
  </si>
  <si>
    <t>Standard Conc (mg/mL):</t>
  </si>
  <si>
    <t>Each capsule contains Omeprazole USP 20MG</t>
  </si>
  <si>
    <t>2016-06-24 11:46:35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</si>
  <si>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</si>
  <si>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</si>
  <si>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</si>
  <si>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</si>
  <si>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</si>
  <si>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</si>
  <si>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</si>
  <si>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</si>
  <si>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</si>
  <si>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</si>
  <si>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</si>
  <si>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</si>
  <si>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</si>
  <si>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</si>
  <si>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</si>
  <si>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</si>
  <si>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</si>
  <si>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</si>
  <si>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</si>
  <si>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</si>
  <si>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</si>
  <si>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</si>
  <si>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</si>
  <si>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</si>
  <si>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</si>
  <si>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</si>
  <si>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2016-06-27 20:58:52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</si>
  <si>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</si>
  <si>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</si>
  <si>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</si>
  <si>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</si>
  <si>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</si>
  <si>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</si>
  <si>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</si>
  <si>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</si>
  <si>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</si>
  <si>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</si>
  <si>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</si>
  <si>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</si>
  <si>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</si>
  <si>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</si>
  <si>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</si>
  <si>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</si>
  <si>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</si>
  <si>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</si>
  <si>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</si>
  <si>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</si>
  <si>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</si>
  <si>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</si>
  <si>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</si>
  <si>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</si>
  <si>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</si>
  <si>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</si>
  <si>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</si>
  <si>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</si>
  <si>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</si>
  <si>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</si>
  <si>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</si>
  <si>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</si>
  <si>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</si>
  <si>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</si>
  <si>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</si>
  <si>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</si>
  <si>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</si>
  <si>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</si>
  <si>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</si>
  <si>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</si>
  <si>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</si>
  <si>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</si>
  <si>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</si>
  <si>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</si>
  <si>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</si>
  <si>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</si>
  <si>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</si>
  <si>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</si>
  <si>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</si>
  <si>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</si>
  <si>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</si>
  <si>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</si>
  <si>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</si>
  <si>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</si>
  <si>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</si>
  <si>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</si>
  <si>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</si>
  <si>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</si>
  <si>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</si>
  <si>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</si>
  <si>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</si>
  <si>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</si>
  <si>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</si>
  <si>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</si>
  <si>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</si>
  <si>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</si>
  <si>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</si>
  <si>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</si>
  <si>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</si>
  <si>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</si>
  <si>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</si>
  <si>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</si>
  <si>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</si>
  <si>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</si>
  <si>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</si>
  <si>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</si>
  <si>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</si>
  <si>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</si>
  <si>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</si>
  <si>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</si>
  <si>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</si>
  <si>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</si>
  <si>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Omeprazole</t>
  </si>
  <si>
    <t>014-4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</si>
</sst>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70" fontId="13" fillId="3" borderId="0" xfId="0" applyNumberFormat="1" applyFont="1" applyFill="1" applyAlignment="1" applyProtection="1">
      <alignment horizontal="left"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2" fontId="12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1" fillId="2" borderId="33" xfId="0" applyFont="1" applyFill="1" applyBorder="1" applyAlignment="1">
      <alignment horizontal="right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>
      <alignment horizontal="right" vertical="center"/>
    </xf>
    <xf numFmtId="0" fontId="13" fillId="3" borderId="36" xfId="0" applyFont="1" applyFill="1" applyBorder="1" applyAlignment="1" applyProtection="1">
      <alignment horizontal="center" vertical="center"/>
      <protection locked="0"/>
    </xf>
    <xf numFmtId="0" fontId="12" fillId="2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  <protection locked="0"/>
    </xf>
    <xf numFmtId="171" fontId="11" fillId="2" borderId="38" xfId="0" applyNumberFormat="1" applyFont="1" applyFill="1" applyBorder="1" applyAlignment="1">
      <alignment horizontal="center" vertical="center"/>
    </xf>
    <xf numFmtId="171" fontId="11" fillId="2" borderId="39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3" fillId="3" borderId="35" xfId="0" applyFont="1" applyFill="1" applyBorder="1" applyAlignment="1" applyProtection="1">
      <alignment horizontal="center" vertical="center"/>
      <protection locked="0"/>
    </xf>
    <xf numFmtId="171" fontId="11" fillId="2" borderId="42" xfId="0" applyNumberFormat="1" applyFont="1" applyFill="1" applyBorder="1" applyAlignment="1">
      <alignment horizontal="center" vertical="center"/>
    </xf>
    <xf numFmtId="171" fontId="11" fillId="2" borderId="43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 vertical="center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171" fontId="11" fillId="2" borderId="45" xfId="0" applyNumberFormat="1" applyFont="1" applyFill="1" applyBorder="1" applyAlignment="1">
      <alignment horizontal="center" vertical="center"/>
    </xf>
    <xf numFmtId="171" fontId="11" fillId="2" borderId="46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right" vertical="center"/>
    </xf>
    <xf numFmtId="1" fontId="12" fillId="6" borderId="47" xfId="0" applyNumberFormat="1" applyFont="1" applyFill="1" applyBorder="1" applyAlignment="1">
      <alignment horizontal="center" vertical="center"/>
    </xf>
    <xf numFmtId="171" fontId="12" fillId="6" borderId="48" xfId="0" applyNumberFormat="1" applyFont="1" applyFill="1" applyBorder="1" applyAlignment="1">
      <alignment horizontal="center" vertical="center"/>
    </xf>
    <xf numFmtId="1" fontId="12" fillId="6" borderId="25" xfId="0" applyNumberFormat="1" applyFont="1" applyFill="1" applyBorder="1" applyAlignment="1">
      <alignment horizontal="center" vertical="center"/>
    </xf>
    <xf numFmtId="171" fontId="12" fillId="6" borderId="4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2" fontId="13" fillId="3" borderId="2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28" xfId="0" applyFont="1" applyFill="1" applyBorder="1" applyAlignment="1" applyProtection="1">
      <alignment horizontal="center" vertical="center"/>
      <protection locked="0"/>
    </xf>
    <xf numFmtId="0" fontId="11" fillId="2" borderId="37" xfId="0" applyFont="1" applyFill="1" applyBorder="1" applyAlignment="1">
      <alignment horizontal="right" vertical="center"/>
    </xf>
    <xf numFmtId="2" fontId="11" fillId="6" borderId="5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1" fillId="7" borderId="50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17" xfId="0" applyNumberFormat="1" applyFont="1" applyFill="1" applyBorder="1" applyAlignment="1">
      <alignment horizontal="center" vertical="center"/>
    </xf>
    <xf numFmtId="2" fontId="11" fillId="6" borderId="18" xfId="0" applyNumberFormat="1" applyFont="1" applyFill="1" applyBorder="1" applyAlignment="1">
      <alignment horizontal="center" vertical="center"/>
    </xf>
    <xf numFmtId="0" fontId="13" fillId="3" borderId="50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47" xfId="0" applyFont="1" applyFill="1" applyBorder="1" applyAlignment="1">
      <alignment horizontal="right" vertical="center"/>
    </xf>
    <xf numFmtId="2" fontId="11" fillId="7" borderId="39" xfId="0" applyNumberFormat="1" applyFont="1" applyFill="1" applyBorder="1" applyAlignment="1">
      <alignment horizontal="center" vertical="center"/>
    </xf>
    <xf numFmtId="171" fontId="11" fillId="2" borderId="0" xfId="0" applyNumberFormat="1" applyFont="1" applyFill="1" applyAlignment="1">
      <alignment horizontal="center" vertical="center"/>
    </xf>
    <xf numFmtId="0" fontId="11" fillId="2" borderId="28" xfId="0" applyFont="1" applyFill="1" applyBorder="1" applyAlignment="1">
      <alignment horizontal="right" vertical="center"/>
    </xf>
    <xf numFmtId="171" fontId="12" fillId="7" borderId="28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10" fontId="11" fillId="6" borderId="17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11" fillId="7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2" fontId="11" fillId="2" borderId="33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51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3" fillId="3" borderId="52" xfId="0" applyFont="1" applyFill="1" applyBorder="1" applyAlignment="1" applyProtection="1">
      <alignment horizontal="center" vertical="center"/>
      <protection locked="0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1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right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4" xfId="0" applyFont="1" applyFill="1" applyBorder="1" applyAlignment="1">
      <alignment horizontal="right" vertical="center"/>
    </xf>
    <xf numFmtId="10" fontId="13" fillId="7" borderId="15" xfId="0" applyNumberFormat="1" applyFont="1" applyFill="1" applyBorder="1" applyAlignment="1">
      <alignment horizontal="center" vertical="center"/>
    </xf>
    <xf numFmtId="10" fontId="13" fillId="6" borderId="1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1" fontId="13" fillId="3" borderId="44" xfId="0" applyNumberFormat="1" applyFont="1" applyFill="1" applyBorder="1" applyAlignment="1" applyProtection="1">
      <alignment horizontal="center" vertical="center"/>
      <protection locked="0"/>
    </xf>
    <xf numFmtId="1" fontId="12" fillId="6" borderId="56" xfId="0" applyNumberFormat="1" applyFont="1" applyFill="1" applyBorder="1" applyAlignment="1">
      <alignment horizontal="center" vertical="center"/>
    </xf>
    <xf numFmtId="1" fontId="12" fillId="6" borderId="57" xfId="0" applyNumberFormat="1" applyFont="1" applyFill="1" applyBorder="1" applyAlignment="1">
      <alignment horizontal="center" vertical="center"/>
    </xf>
    <xf numFmtId="1" fontId="12" fillId="6" borderId="32" xfId="0" applyNumberFormat="1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66" fontId="11" fillId="6" borderId="50" xfId="0" applyNumberFormat="1" applyFont="1" applyFill="1" applyBorder="1" applyAlignment="1">
      <alignment horizontal="center" vertical="center"/>
    </xf>
    <xf numFmtId="166" fontId="11" fillId="6" borderId="1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5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39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/>
    </xf>
    <xf numFmtId="1" fontId="13" fillId="3" borderId="42" xfId="0" applyNumberFormat="1" applyFont="1" applyFill="1" applyBorder="1" applyAlignment="1" applyProtection="1">
      <alignment horizontal="center" vertical="center"/>
      <protection locked="0"/>
    </xf>
    <xf numFmtId="2" fontId="11" fillId="2" borderId="38" xfId="0" applyNumberFormat="1" applyFont="1" applyFill="1" applyBorder="1" applyAlignment="1">
      <alignment horizontal="center" vertical="center"/>
    </xf>
    <xf numFmtId="10" fontId="11" fillId="2" borderId="39" xfId="0" applyNumberFormat="1" applyFont="1" applyFill="1" applyBorder="1" applyAlignment="1">
      <alignment horizontal="center" vertical="center"/>
    </xf>
    <xf numFmtId="2" fontId="11" fillId="2" borderId="42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1" fontId="13" fillId="3" borderId="45" xfId="0" applyNumberFormat="1" applyFont="1" applyFill="1" applyBorder="1" applyAlignment="1" applyProtection="1">
      <alignment horizontal="center" vertical="center"/>
      <protection locked="0"/>
    </xf>
    <xf numFmtId="2" fontId="11" fillId="2" borderId="45" xfId="0" applyNumberFormat="1" applyFont="1" applyFill="1" applyBorder="1" applyAlignment="1">
      <alignment horizontal="center" vertical="center"/>
    </xf>
    <xf numFmtId="10" fontId="11" fillId="2" borderId="46" xfId="0" applyNumberFormat="1" applyFont="1" applyFill="1" applyBorder="1" applyAlignment="1">
      <alignment horizontal="center" vertical="center"/>
    </xf>
    <xf numFmtId="2" fontId="11" fillId="2" borderId="36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10" fontId="13" fillId="7" borderId="50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50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vertical="center"/>
    </xf>
    <xf numFmtId="0" fontId="11" fillId="2" borderId="59" xfId="0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right" vertical="center"/>
    </xf>
    <xf numFmtId="0" fontId="13" fillId="7" borderId="18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40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61" xfId="0" applyFont="1" applyFill="1" applyBorder="1" applyAlignment="1">
      <alignment horizontal="right" vertic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22" fillId="2" borderId="53" xfId="0" applyNumberFormat="1" applyFont="1" applyFill="1" applyBorder="1" applyAlignment="1">
      <alignment horizontal="center" vertical="center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33" xfId="0" applyFont="1" applyFill="1" applyBorder="1" applyAlignment="1">
      <alignment horizontal="left" vertical="center" wrapText="1"/>
    </xf>
    <xf numFmtId="0" fontId="18" fillId="2" borderId="34" xfId="0" applyFont="1" applyFill="1" applyBorder="1" applyAlignment="1">
      <alignment horizontal="left" vertical="center" wrapText="1"/>
    </xf>
    <xf numFmtId="0" fontId="18" fillId="2" borderId="52" xfId="0" applyFont="1" applyFill="1" applyBorder="1" applyAlignment="1">
      <alignment horizontal="left" vertical="center" wrapText="1"/>
    </xf>
    <xf numFmtId="0" fontId="18" fillId="2" borderId="53" xfId="0" applyFont="1" applyFill="1" applyBorder="1" applyAlignment="1">
      <alignment horizontal="left" vertical="center" wrapText="1"/>
    </xf>
    <xf numFmtId="0" fontId="18" fillId="2" borderId="62" xfId="0" applyFont="1" applyFill="1" applyBorder="1" applyAlignment="1">
      <alignment horizontal="center"/>
    </xf>
    <xf numFmtId="0" fontId="18" fillId="2" borderId="30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8" fillId="2" borderId="62" xfId="0" applyFont="1" applyFill="1" applyBorder="1" applyAlignment="1">
      <alignment horizontal="justify" vertical="center" wrapText="1"/>
    </xf>
    <xf numFmtId="0" fontId="18" fillId="2" borderId="30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62" xfId="0" applyFont="1" applyFill="1" applyBorder="1" applyAlignment="1">
      <alignment horizontal="left" vertical="center" wrapText="1"/>
    </xf>
    <xf numFmtId="0" fontId="18" fillId="2" borderId="30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1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8" fillId="2" borderId="33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 vertical="center" wrapText="1"/>
    </xf>
    <xf numFmtId="0" fontId="18" fillId="2" borderId="5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2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1" workbookViewId="0">
      <selection activeCell="E39" sqref="E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0" t="s">
        <v>0</v>
      </c>
      <c r="B15" s="300"/>
      <c r="C15" s="300"/>
      <c r="D15" s="300"/>
      <c r="E15" s="30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B20/50*3/100</f>
        <v>1.0668000000000002E-2</v>
      </c>
      <c r="C21" s="10"/>
      <c r="D21" s="10"/>
      <c r="E21" s="10"/>
    </row>
    <row r="22" spans="1:6" ht="15.75" customHeight="1" x14ac:dyDescent="0.25">
      <c r="A22" s="10"/>
      <c r="B22" s="299">
        <v>42563.490682870368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36483156</v>
      </c>
      <c r="C24" s="18">
        <v>5847.8</v>
      </c>
      <c r="D24" s="19">
        <v>1.05</v>
      </c>
      <c r="E24" s="20">
        <v>6.42</v>
      </c>
    </row>
    <row r="25" spans="1:6" ht="16.5" customHeight="1" x14ac:dyDescent="0.3">
      <c r="A25" s="17">
        <v>2</v>
      </c>
      <c r="B25" s="18">
        <v>36608827</v>
      </c>
      <c r="C25" s="18">
        <v>5946.37</v>
      </c>
      <c r="D25" s="19">
        <v>1.05</v>
      </c>
      <c r="E25" s="19">
        <v>6.42</v>
      </c>
    </row>
    <row r="26" spans="1:6" ht="16.5" customHeight="1" x14ac:dyDescent="0.3">
      <c r="A26" s="17">
        <v>3</v>
      </c>
      <c r="B26" s="18">
        <v>36710129</v>
      </c>
      <c r="C26" s="18">
        <v>5877.69</v>
      </c>
      <c r="D26" s="19">
        <v>1.04</v>
      </c>
      <c r="E26" s="19">
        <v>6.41</v>
      </c>
    </row>
    <row r="27" spans="1:6" ht="16.5" customHeight="1" x14ac:dyDescent="0.3">
      <c r="A27" s="17">
        <v>4</v>
      </c>
      <c r="B27" s="18">
        <v>36395734</v>
      </c>
      <c r="C27" s="18">
        <v>5871.56</v>
      </c>
      <c r="D27" s="19">
        <v>1.04</v>
      </c>
      <c r="E27" s="19">
        <v>6.41</v>
      </c>
    </row>
    <row r="28" spans="1:6" ht="16.5" customHeight="1" x14ac:dyDescent="0.3">
      <c r="A28" s="17">
        <v>5</v>
      </c>
      <c r="B28" s="18">
        <v>36964357</v>
      </c>
      <c r="C28" s="18">
        <v>5867.92</v>
      </c>
      <c r="D28" s="19">
        <v>1.04</v>
      </c>
      <c r="E28" s="19">
        <v>6.41</v>
      </c>
    </row>
    <row r="29" spans="1:6" ht="16.5" customHeight="1" x14ac:dyDescent="0.3">
      <c r="A29" s="17">
        <v>6</v>
      </c>
      <c r="B29" s="21">
        <v>36969707</v>
      </c>
      <c r="C29" s="21">
        <v>5862.98</v>
      </c>
      <c r="D29" s="22">
        <v>1.04</v>
      </c>
      <c r="E29" s="22">
        <v>6.41</v>
      </c>
    </row>
    <row r="30" spans="1:6" ht="16.5" customHeight="1" x14ac:dyDescent="0.3">
      <c r="A30" s="23" t="s">
        <v>18</v>
      </c>
      <c r="B30" s="24">
        <f>AVERAGE(B24:B29)</f>
        <v>36688651.666666664</v>
      </c>
      <c r="C30" s="25">
        <f>AVERAGE(C24:C29)</f>
        <v>5879.0533333333342</v>
      </c>
      <c r="D30" s="26">
        <f>AVERAGE(D24:D29)</f>
        <v>1.0433333333333332</v>
      </c>
      <c r="E30" s="26">
        <f>AVERAGE(E24:E29)</f>
        <v>6.413333333333334</v>
      </c>
    </row>
    <row r="31" spans="1:6" ht="16.5" customHeight="1" x14ac:dyDescent="0.3">
      <c r="A31" s="27" t="s">
        <v>19</v>
      </c>
      <c r="B31" s="28">
        <f>(STDEV(B24:B29)/B30)</f>
        <v>6.5627127124741934E-3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99.9</v>
      </c>
      <c r="C40" s="10"/>
      <c r="D40" s="10"/>
      <c r="E40" s="10"/>
    </row>
    <row r="41" spans="1:6" ht="16.5" customHeight="1" x14ac:dyDescent="0.3">
      <c r="A41" s="7" t="s">
        <v>8</v>
      </c>
      <c r="B41" s="12">
        <f>17.78</f>
        <v>17.78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B41/50*1/100</f>
        <v>3.5560000000000001E-3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36483156</v>
      </c>
      <c r="C45" s="18">
        <v>5847.8</v>
      </c>
      <c r="D45" s="19">
        <v>1.05</v>
      </c>
      <c r="E45" s="20">
        <v>6.42</v>
      </c>
    </row>
    <row r="46" spans="1:6" ht="16.5" customHeight="1" x14ac:dyDescent="0.3">
      <c r="A46" s="17">
        <v>2</v>
      </c>
      <c r="B46" s="18">
        <v>36608827</v>
      </c>
      <c r="C46" s="18">
        <v>5946.37</v>
      </c>
      <c r="D46" s="19">
        <v>1.05</v>
      </c>
      <c r="E46" s="19">
        <v>6.42</v>
      </c>
    </row>
    <row r="47" spans="1:6" ht="16.5" customHeight="1" x14ac:dyDescent="0.3">
      <c r="A47" s="17">
        <v>3</v>
      </c>
      <c r="B47" s="18">
        <v>36710129</v>
      </c>
      <c r="C47" s="18">
        <v>5877.69</v>
      </c>
      <c r="D47" s="19">
        <v>1.04</v>
      </c>
      <c r="E47" s="19">
        <v>6.41</v>
      </c>
    </row>
    <row r="48" spans="1:6" ht="16.5" customHeight="1" x14ac:dyDescent="0.3">
      <c r="A48" s="17">
        <v>4</v>
      </c>
      <c r="B48" s="18">
        <v>36395734</v>
      </c>
      <c r="C48" s="18">
        <v>5871.56</v>
      </c>
      <c r="D48" s="19">
        <v>1.04</v>
      </c>
      <c r="E48" s="19">
        <v>6.41</v>
      </c>
    </row>
    <row r="49" spans="1:7" ht="16.5" customHeight="1" x14ac:dyDescent="0.3">
      <c r="A49" s="17">
        <v>5</v>
      </c>
      <c r="B49" s="18">
        <v>36964357</v>
      </c>
      <c r="C49" s="18">
        <v>5867.92</v>
      </c>
      <c r="D49" s="19">
        <v>1.04</v>
      </c>
      <c r="E49" s="19">
        <v>6.41</v>
      </c>
    </row>
    <row r="50" spans="1:7" ht="16.5" customHeight="1" x14ac:dyDescent="0.3">
      <c r="A50" s="17">
        <v>6</v>
      </c>
      <c r="B50" s="21">
        <v>36969707</v>
      </c>
      <c r="C50" s="21">
        <v>5862.98</v>
      </c>
      <c r="D50" s="22">
        <v>1.04</v>
      </c>
      <c r="E50" s="22">
        <v>6.41</v>
      </c>
    </row>
    <row r="51" spans="1:7" ht="16.5" customHeight="1" x14ac:dyDescent="0.3">
      <c r="A51" s="23" t="s">
        <v>18</v>
      </c>
      <c r="B51" s="24">
        <f>AVERAGE(B45:B50)</f>
        <v>36688651.666666664</v>
      </c>
      <c r="C51" s="25">
        <f>AVERAGE(C45:C50)</f>
        <v>5879.0533333333342</v>
      </c>
      <c r="D51" s="26">
        <f>AVERAGE(D45:D50)</f>
        <v>1.0433333333333332</v>
      </c>
      <c r="E51" s="26">
        <f>AVERAGE(E45:E50)</f>
        <v>6.413333333333334</v>
      </c>
    </row>
    <row r="52" spans="1:7" ht="16.5" customHeight="1" x14ac:dyDescent="0.3">
      <c r="A52" s="27" t="s">
        <v>19</v>
      </c>
      <c r="B52" s="28">
        <f>(STDEV(B45:B50)/B51)</f>
        <v>6.5627127124741934E-3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1" t="s">
        <v>26</v>
      </c>
      <c r="C59" s="30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8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4" t="s">
        <v>31</v>
      </c>
      <c r="B8" s="304"/>
      <c r="C8" s="304"/>
      <c r="D8" s="304"/>
      <c r="E8" s="304"/>
      <c r="F8" s="304"/>
      <c r="G8" s="30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5" t="s">
        <v>32</v>
      </c>
      <c r="B10" s="305"/>
      <c r="C10" s="305"/>
      <c r="D10" s="305"/>
      <c r="E10" s="305"/>
      <c r="F10" s="305"/>
      <c r="G10" s="30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2" t="s">
        <v>33</v>
      </c>
      <c r="B11" s="302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2" t="s">
        <v>34</v>
      </c>
      <c r="B12" s="302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2" t="s">
        <v>35</v>
      </c>
      <c r="B13" s="302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2" t="s">
        <v>36</v>
      </c>
      <c r="B14" s="302"/>
      <c r="C14" s="303" t="s">
        <v>11</v>
      </c>
      <c r="D14" s="303"/>
      <c r="E14" s="303"/>
      <c r="F14" s="303"/>
      <c r="G14" s="30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2" t="s">
        <v>37</v>
      </c>
      <c r="B15" s="302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2" t="s">
        <v>38</v>
      </c>
      <c r="B16" s="302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6" t="s">
        <v>1</v>
      </c>
      <c r="B18" s="306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338.15</v>
      </c>
      <c r="C21" s="83">
        <v>62.42</v>
      </c>
      <c r="D21" s="84">
        <f t="shared" ref="D21:D40" si="0">B21-C21</f>
        <v>275.72999999999996</v>
      </c>
      <c r="E21" s="85">
        <f t="shared" ref="E21:E40" si="1">(D21-$D$43)/$D$43</f>
        <v>-2.4444609554944818E-2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343.23</v>
      </c>
      <c r="C22" s="88">
        <v>63.92</v>
      </c>
      <c r="D22" s="89">
        <f t="shared" si="0"/>
        <v>279.31</v>
      </c>
      <c r="E22" s="85">
        <f t="shared" si="1"/>
        <v>-1.1778275467999843E-2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352.08</v>
      </c>
      <c r="C23" s="88">
        <v>63.28</v>
      </c>
      <c r="D23" s="89">
        <f t="shared" si="0"/>
        <v>288.79999999999995</v>
      </c>
      <c r="E23" s="85">
        <f t="shared" si="1"/>
        <v>2.1798124108845362E-2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334.49</v>
      </c>
      <c r="C24" s="88">
        <v>63.48</v>
      </c>
      <c r="D24" s="89">
        <f t="shared" si="0"/>
        <v>271.01</v>
      </c>
      <c r="E24" s="85">
        <f t="shared" si="1"/>
        <v>-4.1144357289687621E-2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332.5</v>
      </c>
      <c r="C25" s="88">
        <v>62.46</v>
      </c>
      <c r="D25" s="89">
        <f t="shared" si="0"/>
        <v>270.04000000000002</v>
      </c>
      <c r="E25" s="85">
        <f t="shared" si="1"/>
        <v>-4.457629697246307E-2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341.22</v>
      </c>
      <c r="C26" s="88">
        <v>64.08</v>
      </c>
      <c r="D26" s="89">
        <f t="shared" si="0"/>
        <v>277.14000000000004</v>
      </c>
      <c r="E26" s="85">
        <f t="shared" si="1"/>
        <v>-1.9455913727404805E-2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358.43</v>
      </c>
      <c r="C27" s="88">
        <v>63.08</v>
      </c>
      <c r="D27" s="89">
        <f t="shared" si="0"/>
        <v>295.35000000000002</v>
      </c>
      <c r="E27" s="85">
        <f t="shared" si="1"/>
        <v>4.4972562172948573E-2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326.16000000000003</v>
      </c>
      <c r="C28" s="88">
        <v>63.44</v>
      </c>
      <c r="D28" s="89">
        <f t="shared" si="0"/>
        <v>262.72000000000003</v>
      </c>
      <c r="E28" s="85">
        <f t="shared" si="1"/>
        <v>-7.0475058289903317E-2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366.11</v>
      </c>
      <c r="C29" s="88">
        <v>63.25</v>
      </c>
      <c r="D29" s="89">
        <f t="shared" si="0"/>
        <v>302.86</v>
      </c>
      <c r="E29" s="85">
        <f t="shared" si="1"/>
        <v>7.154355909835515E-2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338.41</v>
      </c>
      <c r="C30" s="88">
        <v>63.93</v>
      </c>
      <c r="D30" s="89">
        <f t="shared" si="0"/>
        <v>274.48</v>
      </c>
      <c r="E30" s="85">
        <f t="shared" si="1"/>
        <v>-2.8867212238933734E-2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347.92</v>
      </c>
      <c r="C31" s="88">
        <v>62.61</v>
      </c>
      <c r="D31" s="89">
        <f t="shared" si="0"/>
        <v>285.31</v>
      </c>
      <c r="E31" s="85">
        <f t="shared" si="1"/>
        <v>9.4502174151479164E-3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347.49</v>
      </c>
      <c r="C32" s="88">
        <v>64.05</v>
      </c>
      <c r="D32" s="89">
        <f t="shared" si="0"/>
        <v>283.44</v>
      </c>
      <c r="E32" s="85">
        <f t="shared" si="1"/>
        <v>2.8340037999001824E-3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345.2</v>
      </c>
      <c r="C33" s="88">
        <v>61.88</v>
      </c>
      <c r="D33" s="89">
        <f t="shared" si="0"/>
        <v>283.32</v>
      </c>
      <c r="E33" s="85">
        <f t="shared" si="1"/>
        <v>2.4094339422372113E-3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347.12</v>
      </c>
      <c r="C34" s="88">
        <v>60.98</v>
      </c>
      <c r="D34" s="89">
        <f t="shared" si="0"/>
        <v>286.14</v>
      </c>
      <c r="E34" s="85">
        <f t="shared" si="1"/>
        <v>1.2386825597316634E-2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334.2</v>
      </c>
      <c r="C35" s="88">
        <v>61.87</v>
      </c>
      <c r="D35" s="89">
        <f t="shared" si="0"/>
        <v>272.33</v>
      </c>
      <c r="E35" s="85">
        <f t="shared" si="1"/>
        <v>-3.6474088855395138E-2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349.2</v>
      </c>
      <c r="C36" s="88">
        <v>64.55</v>
      </c>
      <c r="D36" s="89">
        <f t="shared" si="0"/>
        <v>284.64999999999998</v>
      </c>
      <c r="E36" s="85">
        <f t="shared" si="1"/>
        <v>7.1150831980015747E-3</v>
      </c>
      <c r="G36" s="66"/>
      <c r="H36" s="66"/>
    </row>
    <row r="37" spans="1:15" ht="15" x14ac:dyDescent="0.3">
      <c r="A37" s="86">
        <v>17</v>
      </c>
      <c r="B37" s="90">
        <v>342.73</v>
      </c>
      <c r="C37" s="88">
        <v>62.7</v>
      </c>
      <c r="D37" s="89">
        <f t="shared" si="0"/>
        <v>280.03000000000003</v>
      </c>
      <c r="E37" s="85">
        <f t="shared" si="1"/>
        <v>-9.2308563220220158E-3</v>
      </c>
    </row>
    <row r="38" spans="1:15" ht="15" x14ac:dyDescent="0.3">
      <c r="A38" s="86">
        <v>18</v>
      </c>
      <c r="B38" s="90">
        <v>354.43</v>
      </c>
      <c r="C38" s="88">
        <v>61.67</v>
      </c>
      <c r="D38" s="89">
        <f t="shared" si="0"/>
        <v>292.76</v>
      </c>
      <c r="E38" s="85">
        <f t="shared" si="1"/>
        <v>3.5808929411723013E-2</v>
      </c>
    </row>
    <row r="39" spans="1:15" ht="15" x14ac:dyDescent="0.3">
      <c r="A39" s="86">
        <v>19</v>
      </c>
      <c r="B39" s="90">
        <v>344.72</v>
      </c>
      <c r="C39" s="88">
        <v>63.05</v>
      </c>
      <c r="D39" s="89">
        <f t="shared" si="0"/>
        <v>281.67</v>
      </c>
      <c r="E39" s="85">
        <f t="shared" si="1"/>
        <v>-3.4284016006283424E-3</v>
      </c>
    </row>
    <row r="40" spans="1:15" ht="14.25" customHeight="1" x14ac:dyDescent="0.3">
      <c r="A40" s="91">
        <v>20</v>
      </c>
      <c r="B40" s="92">
        <v>370.87</v>
      </c>
      <c r="C40" s="93">
        <v>65.180000000000007</v>
      </c>
      <c r="D40" s="94">
        <f t="shared" si="0"/>
        <v>305.69</v>
      </c>
      <c r="E40" s="95">
        <f t="shared" si="1"/>
        <v>8.1556331574906465E-2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6914.66</v>
      </c>
      <c r="C42" s="98">
        <f>SUM(C21:C40)</f>
        <v>1261.8799999999999</v>
      </c>
      <c r="D42" s="99">
        <f>SUM(D21:D40)</f>
        <v>5652.78</v>
      </c>
    </row>
    <row r="43" spans="1:15" ht="15.75" customHeight="1" x14ac:dyDescent="0.3">
      <c r="A43" s="100" t="s">
        <v>47</v>
      </c>
      <c r="B43" s="101">
        <f>AVERAGE(B21:B40)</f>
        <v>345.733</v>
      </c>
      <c r="C43" s="102">
        <f>AVERAGE(C21:C40)</f>
        <v>63.093999999999994</v>
      </c>
      <c r="D43" s="103">
        <f>AVERAGE(D21:D40)</f>
        <v>282.63900000000001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7">
        <f>D43</f>
        <v>282.63900000000001</v>
      </c>
      <c r="C47" s="107">
        <f>-(IF(D43&gt;300, 7.5%, 10%))</f>
        <v>-0.1</v>
      </c>
      <c r="D47" s="108">
        <f>IF(D43&lt;300, D43*0.9, D43*0.925)</f>
        <v>254.3751</v>
      </c>
    </row>
    <row r="48" spans="1:15" ht="15.75" customHeight="1" x14ac:dyDescent="0.3">
      <c r="B48" s="308"/>
      <c r="C48" s="109">
        <f>+(IF(D43&gt;300, 7.5%, 10%))</f>
        <v>0.1</v>
      </c>
      <c r="D48" s="108">
        <f>IF(D43&lt;300, D43*1.1, D43*1.075)</f>
        <v>310.90290000000005</v>
      </c>
    </row>
    <row r="49" spans="1:7" ht="14.25" customHeight="1" x14ac:dyDescent="0.3">
      <c r="A49" s="110"/>
      <c r="D49" s="111"/>
    </row>
    <row r="50" spans="1:7" ht="15" customHeight="1" x14ac:dyDescent="0.3">
      <c r="B50" s="301" t="s">
        <v>26</v>
      </c>
      <c r="C50" s="301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2" priority="1" operator="notBetween">
      <formula>IF(+$D$43&lt;300, -10.5%, -7.5%)</formula>
      <formula>IF(+$D$43&lt;300, 10.5%, 7.5%)</formula>
    </cfRule>
  </conditionalFormatting>
  <conditionalFormatting sqref="E22">
    <cfRule type="cellIs" dxfId="21" priority="2" operator="notBetween">
      <formula>IF(+$D$43&lt;300, -10.5%, -7.5%)</formula>
      <formula>IF(+$D$43&lt;300, 10.5%, 7.5%)</formula>
    </cfRule>
  </conditionalFormatting>
  <conditionalFormatting sqref="E23">
    <cfRule type="cellIs" dxfId="20" priority="3" operator="notBetween">
      <formula>IF(+$D$43&lt;300, -10.5%, -7.5%)</formula>
      <formula>IF(+$D$43&lt;300, 10.5%, 7.5%)</formula>
    </cfRule>
  </conditionalFormatting>
  <conditionalFormatting sqref="E24">
    <cfRule type="cellIs" dxfId="19" priority="4" operator="notBetween">
      <formula>IF(+$D$43&lt;300, -10.5%, -7.5%)</formula>
      <formula>IF(+$D$43&lt;300, 10.5%, 7.5%)</formula>
    </cfRule>
  </conditionalFormatting>
  <conditionalFormatting sqref="E25">
    <cfRule type="cellIs" dxfId="18" priority="5" operator="notBetween">
      <formula>IF(+$D$43&lt;300, -10.5%, -7.5%)</formula>
      <formula>IF(+$D$43&lt;300, 10.5%, 7.5%)</formula>
    </cfRule>
  </conditionalFormatting>
  <conditionalFormatting sqref="E26">
    <cfRule type="cellIs" dxfId="17" priority="6" operator="notBetween">
      <formula>IF(+$D$43&lt;300, -10.5%, -7.5%)</formula>
      <formula>IF(+$D$43&lt;300, 10.5%, 7.5%)</formula>
    </cfRule>
  </conditionalFormatting>
  <conditionalFormatting sqref="E27">
    <cfRule type="cellIs" dxfId="16" priority="7" operator="notBetween">
      <formula>IF(+$D$43&lt;300, -10.5%, -7.5%)</formula>
      <formula>IF(+$D$43&lt;300, 10.5%, 7.5%)</formula>
    </cfRule>
  </conditionalFormatting>
  <conditionalFormatting sqref="E28">
    <cfRule type="cellIs" dxfId="15" priority="8" operator="notBetween">
      <formula>IF(+$D$43&lt;300, -10.5%, -7.5%)</formula>
      <formula>IF(+$D$43&lt;300, 10.5%, 7.5%)</formula>
    </cfRule>
  </conditionalFormatting>
  <conditionalFormatting sqref="E29">
    <cfRule type="cellIs" dxfId="14" priority="9" operator="notBetween">
      <formula>IF(+$D$43&lt;300, -10.5%, -7.5%)</formula>
      <formula>IF(+$D$43&lt;300, 10.5%, 7.5%)</formula>
    </cfRule>
  </conditionalFormatting>
  <conditionalFormatting sqref="E30">
    <cfRule type="cellIs" dxfId="13" priority="10" operator="notBetween">
      <formula>IF(+$D$43&lt;300, -10.5%, -7.5%)</formula>
      <formula>IF(+$D$43&lt;300, 10.5%, 7.5%)</formula>
    </cfRule>
  </conditionalFormatting>
  <conditionalFormatting sqref="E31">
    <cfRule type="cellIs" dxfId="12" priority="11" operator="notBetween">
      <formula>IF(+$D$43&lt;300, -10.5%, -7.5%)</formula>
      <formula>IF(+$D$43&lt;300, 10.5%, 7.5%)</formula>
    </cfRule>
  </conditionalFormatting>
  <conditionalFormatting sqref="E32">
    <cfRule type="cellIs" dxfId="11" priority="12" operator="notBetween">
      <formula>IF(+$D$43&lt;300, -10.5%, -7.5%)</formula>
      <formula>IF(+$D$43&lt;300, 10.5%, 7.5%)</formula>
    </cfRule>
  </conditionalFormatting>
  <conditionalFormatting sqref="E33">
    <cfRule type="cellIs" dxfId="10" priority="13" operator="notBetween">
      <formula>IF(+$D$43&lt;300, -10.5%, -7.5%)</formula>
      <formula>IF(+$D$43&lt;300, 10.5%, 7.5%)</formula>
    </cfRule>
  </conditionalFormatting>
  <conditionalFormatting sqref="E34">
    <cfRule type="cellIs" dxfId="9" priority="14" operator="notBetween">
      <formula>IF(+$D$43&lt;300, -10.5%, -7.5%)</formula>
      <formula>IF(+$D$43&lt;300, 10.5%, 7.5%)</formula>
    </cfRule>
  </conditionalFormatting>
  <conditionalFormatting sqref="E35">
    <cfRule type="cellIs" dxfId="8" priority="15" operator="notBetween">
      <formula>IF(+$D$43&lt;300, -10.5%, -7.5%)</formula>
      <formula>IF(+$D$43&lt;300, 10.5%, 7.5%)</formula>
    </cfRule>
  </conditionalFormatting>
  <conditionalFormatting sqref="E36">
    <cfRule type="cellIs" dxfId="7" priority="16" operator="notBetween">
      <formula>IF(+$D$43&lt;300, -10.5%, -7.5%)</formula>
      <formula>IF(+$D$43&lt;300, 10.5%, 7.5%)</formula>
    </cfRule>
  </conditionalFormatting>
  <conditionalFormatting sqref="E37">
    <cfRule type="cellIs" dxfId="6" priority="17" operator="notBetween">
      <formula>IF(+$D$43&lt;300, -10.5%, -7.5%)</formula>
      <formula>IF(+$D$43&lt;300, 10.5%, 7.5%)</formula>
    </cfRule>
  </conditionalFormatting>
  <conditionalFormatting sqref="E38">
    <cfRule type="cellIs" dxfId="5" priority="18" operator="notBetween">
      <formula>IF(+$D$43&lt;300, -10.5%, -7.5%)</formula>
      <formula>IF(+$D$43&lt;300, 10.5%, 7.5%)</formula>
    </cfRule>
  </conditionalFormatting>
  <conditionalFormatting sqref="E39">
    <cfRule type="cellIs" dxfId="4" priority="19" operator="notBetween">
      <formula>IF(+$D$43&lt;300, -10.5%, -7.5%)</formula>
      <formula>IF(+$D$43&lt;300, 10.5%, 7.5%)</formula>
    </cfRule>
  </conditionalFormatting>
  <conditionalFormatting sqref="E40">
    <cfRule type="cellIs" dxfId="3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81" zoomScale="55" zoomScaleNormal="55" workbookViewId="0">
      <selection activeCell="D104" sqref="D104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309" t="s">
        <v>49</v>
      </c>
      <c r="B1" s="309"/>
      <c r="C1" s="309"/>
      <c r="D1" s="309"/>
      <c r="E1" s="309"/>
      <c r="F1" s="309"/>
      <c r="G1" s="309"/>
      <c r="H1" s="309"/>
    </row>
    <row r="2" spans="1:8" ht="13.5" x14ac:dyDescent="0.25">
      <c r="A2" s="309"/>
      <c r="B2" s="309"/>
      <c r="C2" s="309"/>
      <c r="D2" s="309"/>
      <c r="E2" s="309"/>
      <c r="F2" s="309"/>
      <c r="G2" s="309"/>
      <c r="H2" s="309"/>
    </row>
    <row r="3" spans="1:8" ht="13.5" x14ac:dyDescent="0.25">
      <c r="A3" s="309"/>
      <c r="B3" s="309"/>
      <c r="C3" s="309"/>
      <c r="D3" s="309"/>
      <c r="E3" s="309"/>
      <c r="F3" s="309"/>
      <c r="G3" s="309"/>
      <c r="H3" s="309"/>
    </row>
    <row r="4" spans="1:8" ht="13.5" x14ac:dyDescent="0.25">
      <c r="A4" s="309"/>
      <c r="B4" s="309"/>
      <c r="C4" s="309"/>
      <c r="D4" s="309"/>
      <c r="E4" s="309"/>
      <c r="F4" s="309"/>
      <c r="G4" s="309"/>
      <c r="H4" s="309"/>
    </row>
    <row r="5" spans="1:8" ht="13.5" x14ac:dyDescent="0.25">
      <c r="A5" s="309"/>
      <c r="B5" s="309"/>
      <c r="C5" s="309"/>
      <c r="D5" s="309"/>
      <c r="E5" s="309"/>
      <c r="F5" s="309"/>
      <c r="G5" s="309"/>
      <c r="H5" s="309"/>
    </row>
    <row r="6" spans="1:8" ht="13.5" x14ac:dyDescent="0.25">
      <c r="A6" s="309"/>
      <c r="B6" s="309"/>
      <c r="C6" s="309"/>
      <c r="D6" s="309"/>
      <c r="E6" s="309"/>
      <c r="F6" s="309"/>
      <c r="G6" s="309"/>
      <c r="H6" s="309"/>
    </row>
    <row r="7" spans="1:8" ht="13.5" x14ac:dyDescent="0.25">
      <c r="A7" s="309"/>
      <c r="B7" s="309"/>
      <c r="C7" s="309"/>
      <c r="D7" s="309"/>
      <c r="E7" s="309"/>
      <c r="F7" s="309"/>
      <c r="G7" s="309"/>
      <c r="H7" s="309"/>
    </row>
    <row r="8" spans="1:8" ht="13.5" x14ac:dyDescent="0.25">
      <c r="A8" s="310" t="s">
        <v>50</v>
      </c>
      <c r="B8" s="310"/>
      <c r="C8" s="310"/>
      <c r="D8" s="310"/>
      <c r="E8" s="310"/>
      <c r="F8" s="310"/>
      <c r="G8" s="310"/>
      <c r="H8" s="310"/>
    </row>
    <row r="9" spans="1:8" ht="13.5" x14ac:dyDescent="0.25">
      <c r="A9" s="310"/>
      <c r="B9" s="310"/>
      <c r="C9" s="310"/>
      <c r="D9" s="310"/>
      <c r="E9" s="310"/>
      <c r="F9" s="310"/>
      <c r="G9" s="310"/>
      <c r="H9" s="310"/>
    </row>
    <row r="10" spans="1:8" ht="13.5" x14ac:dyDescent="0.25">
      <c r="A10" s="310"/>
      <c r="B10" s="310"/>
      <c r="C10" s="310"/>
      <c r="D10" s="310"/>
      <c r="E10" s="310"/>
      <c r="F10" s="310"/>
      <c r="G10" s="310"/>
      <c r="H10" s="310"/>
    </row>
    <row r="11" spans="1:8" ht="13.5" x14ac:dyDescent="0.25">
      <c r="A11" s="310"/>
      <c r="B11" s="310"/>
      <c r="C11" s="310"/>
      <c r="D11" s="310"/>
      <c r="E11" s="310"/>
      <c r="F11" s="310"/>
      <c r="G11" s="310"/>
      <c r="H11" s="310"/>
    </row>
    <row r="12" spans="1:8" ht="13.5" x14ac:dyDescent="0.25">
      <c r="A12" s="310"/>
      <c r="B12" s="310"/>
      <c r="C12" s="310"/>
      <c r="D12" s="310"/>
      <c r="E12" s="310"/>
      <c r="F12" s="310"/>
      <c r="G12" s="310"/>
      <c r="H12" s="310"/>
    </row>
    <row r="13" spans="1:8" ht="13.5" x14ac:dyDescent="0.25">
      <c r="A13" s="310"/>
      <c r="B13" s="310"/>
      <c r="C13" s="310"/>
      <c r="D13" s="310"/>
      <c r="E13" s="310"/>
      <c r="F13" s="310"/>
      <c r="G13" s="310"/>
      <c r="H13" s="310"/>
    </row>
    <row r="14" spans="1:8" ht="13.5" x14ac:dyDescent="0.25">
      <c r="A14" s="310"/>
      <c r="B14" s="310"/>
      <c r="C14" s="310"/>
      <c r="D14" s="310"/>
      <c r="E14" s="310"/>
      <c r="F14" s="310"/>
      <c r="G14" s="310"/>
      <c r="H14" s="310"/>
    </row>
    <row r="15" spans="1:8" ht="19.5" customHeight="1" x14ac:dyDescent="0.3"/>
    <row r="16" spans="1:8" ht="19.5" customHeight="1" x14ac:dyDescent="0.3">
      <c r="A16" s="315" t="s">
        <v>31</v>
      </c>
      <c r="B16" s="316"/>
      <c r="C16" s="316"/>
      <c r="D16" s="316"/>
      <c r="E16" s="316"/>
      <c r="F16" s="316"/>
      <c r="G16" s="316"/>
      <c r="H16" s="317"/>
    </row>
    <row r="17" spans="1:13" ht="20.25" customHeight="1" x14ac:dyDescent="0.25">
      <c r="A17" s="318" t="s">
        <v>51</v>
      </c>
      <c r="B17" s="318"/>
      <c r="C17" s="318"/>
      <c r="D17" s="318"/>
      <c r="E17" s="318"/>
      <c r="F17" s="318"/>
      <c r="G17" s="318"/>
      <c r="H17" s="318"/>
    </row>
    <row r="18" spans="1:13" ht="26.25" customHeight="1" x14ac:dyDescent="0.3">
      <c r="A18" s="120" t="s">
        <v>33</v>
      </c>
      <c r="B18" s="319" t="s">
        <v>5</v>
      </c>
      <c r="C18" s="319"/>
      <c r="D18" s="319"/>
      <c r="E18" s="319"/>
    </row>
    <row r="19" spans="1:13" ht="26.25" customHeight="1" x14ac:dyDescent="0.3">
      <c r="A19" s="120" t="s">
        <v>34</v>
      </c>
      <c r="B19" s="121" t="s">
        <v>7</v>
      </c>
      <c r="C19" s="119">
        <v>2</v>
      </c>
    </row>
    <row r="20" spans="1:13" ht="26.25" customHeight="1" x14ac:dyDescent="0.3">
      <c r="A20" s="120" t="s">
        <v>35</v>
      </c>
      <c r="B20" s="121" t="s">
        <v>9</v>
      </c>
    </row>
    <row r="21" spans="1:13" ht="26.25" customHeight="1" x14ac:dyDescent="0.25">
      <c r="A21" s="120" t="s">
        <v>36</v>
      </c>
      <c r="B21" s="319" t="s">
        <v>11</v>
      </c>
      <c r="C21" s="319"/>
      <c r="D21" s="319"/>
      <c r="E21" s="319"/>
      <c r="F21" s="319"/>
      <c r="G21" s="319"/>
      <c r="H21" s="319"/>
    </row>
    <row r="22" spans="1:13" ht="26.25" customHeight="1" x14ac:dyDescent="0.3">
      <c r="A22" s="120" t="s">
        <v>37</v>
      </c>
      <c r="B22" s="122" t="s">
        <v>12</v>
      </c>
    </row>
    <row r="23" spans="1:13" ht="26.25" customHeight="1" x14ac:dyDescent="0.3">
      <c r="A23" s="120" t="s">
        <v>38</v>
      </c>
      <c r="B23" s="122"/>
    </row>
    <row r="24" spans="1:13" ht="18.75" x14ac:dyDescent="0.3">
      <c r="A24" s="120"/>
      <c r="B24" s="123"/>
    </row>
    <row r="25" spans="1:13" ht="18.75" x14ac:dyDescent="0.3">
      <c r="A25" s="124" t="s">
        <v>1</v>
      </c>
      <c r="B25" s="123"/>
    </row>
    <row r="26" spans="1:13" ht="26.25" customHeight="1" x14ac:dyDescent="0.3">
      <c r="A26" s="125" t="s">
        <v>4</v>
      </c>
      <c r="B26" s="319" t="s">
        <v>122</v>
      </c>
      <c r="C26" s="319"/>
    </row>
    <row r="27" spans="1:13" ht="26.25" customHeight="1" x14ac:dyDescent="0.3">
      <c r="A27" s="126" t="s">
        <v>52</v>
      </c>
      <c r="B27" s="319" t="s">
        <v>123</v>
      </c>
      <c r="C27" s="319"/>
    </row>
    <row r="28" spans="1:13" ht="27" customHeight="1" x14ac:dyDescent="0.3">
      <c r="A28" s="126" t="s">
        <v>6</v>
      </c>
      <c r="B28" s="127">
        <v>99.9</v>
      </c>
    </row>
    <row r="29" spans="1:13" s="12" customFormat="1" ht="15.75" customHeight="1" x14ac:dyDescent="0.3">
      <c r="A29" s="126" t="s">
        <v>53</v>
      </c>
      <c r="B29" s="128"/>
      <c r="C29" s="320" t="s">
        <v>54</v>
      </c>
      <c r="D29" s="321"/>
      <c r="E29" s="321"/>
      <c r="F29" s="321"/>
      <c r="G29" s="321"/>
      <c r="H29" s="322"/>
      <c r="I29" s="129"/>
      <c r="J29" s="129"/>
      <c r="K29" s="129"/>
    </row>
    <row r="30" spans="1:13" s="12" customFormat="1" ht="19.5" customHeight="1" x14ac:dyDescent="0.3">
      <c r="A30" s="126" t="s">
        <v>55</v>
      </c>
      <c r="B30" s="130">
        <f>B28-B29</f>
        <v>99.9</v>
      </c>
      <c r="C30" s="131"/>
      <c r="D30" s="131"/>
      <c r="E30" s="131"/>
      <c r="F30" s="131"/>
      <c r="G30" s="131"/>
      <c r="H30" s="132"/>
      <c r="I30" s="129"/>
      <c r="J30" s="129"/>
      <c r="K30" s="129"/>
    </row>
    <row r="31" spans="1:13" s="12" customFormat="1" ht="27" customHeight="1" x14ac:dyDescent="0.3">
      <c r="A31" s="126" t="s">
        <v>56</v>
      </c>
      <c r="B31" s="133">
        <v>1</v>
      </c>
      <c r="C31" s="323" t="s">
        <v>57</v>
      </c>
      <c r="D31" s="324"/>
      <c r="E31" s="324"/>
      <c r="F31" s="324"/>
      <c r="G31" s="324"/>
      <c r="H31" s="325"/>
      <c r="I31" s="129"/>
      <c r="J31" s="129"/>
      <c r="K31" s="129"/>
    </row>
    <row r="32" spans="1:13" s="12" customFormat="1" ht="27" customHeight="1" x14ac:dyDescent="0.3">
      <c r="A32" s="126" t="s">
        <v>58</v>
      </c>
      <c r="B32" s="133">
        <v>1</v>
      </c>
      <c r="C32" s="323" t="s">
        <v>59</v>
      </c>
      <c r="D32" s="324"/>
      <c r="E32" s="324"/>
      <c r="F32" s="324"/>
      <c r="G32" s="324"/>
      <c r="H32" s="325"/>
      <c r="I32" s="129"/>
      <c r="J32" s="129"/>
      <c r="K32" s="134"/>
      <c r="L32" s="134"/>
      <c r="M32" s="135"/>
    </row>
    <row r="33" spans="1:13" s="12" customFormat="1" ht="17.25" customHeight="1" x14ac:dyDescent="0.3">
      <c r="A33" s="126"/>
      <c r="B33" s="136"/>
      <c r="C33" s="137"/>
      <c r="D33" s="137"/>
      <c r="E33" s="137"/>
      <c r="F33" s="137"/>
      <c r="G33" s="137"/>
      <c r="H33" s="137"/>
      <c r="I33" s="129"/>
      <c r="J33" s="129"/>
      <c r="K33" s="134"/>
      <c r="L33" s="134"/>
      <c r="M33" s="135"/>
    </row>
    <row r="34" spans="1:13" s="12" customFormat="1" ht="18.75" x14ac:dyDescent="0.3">
      <c r="A34" s="126" t="s">
        <v>60</v>
      </c>
      <c r="B34" s="138">
        <f>B31/B32</f>
        <v>1</v>
      </c>
      <c r="C34" s="119" t="s">
        <v>61</v>
      </c>
      <c r="D34" s="119"/>
      <c r="E34" s="119"/>
      <c r="F34" s="119"/>
      <c r="G34" s="119"/>
      <c r="H34" s="139"/>
      <c r="I34" s="129"/>
      <c r="J34" s="129"/>
      <c r="K34" s="134"/>
      <c r="L34" s="134"/>
      <c r="M34" s="135"/>
    </row>
    <row r="35" spans="1:13" s="12" customFormat="1" ht="19.5" customHeight="1" x14ac:dyDescent="0.3">
      <c r="A35" s="126"/>
      <c r="B35" s="130"/>
      <c r="C35" s="139"/>
      <c r="D35" s="139"/>
      <c r="E35" s="139"/>
      <c r="F35" s="139"/>
      <c r="G35" s="119"/>
      <c r="H35" s="139"/>
      <c r="I35" s="129"/>
      <c r="J35" s="129"/>
      <c r="K35" s="134"/>
      <c r="L35" s="134"/>
      <c r="M35" s="135"/>
    </row>
    <row r="36" spans="1:13" s="12" customFormat="1" ht="15.75" customHeight="1" x14ac:dyDescent="0.3">
      <c r="A36" s="140" t="s">
        <v>62</v>
      </c>
      <c r="B36" s="141">
        <v>50</v>
      </c>
      <c r="C36" s="119"/>
      <c r="D36" s="326" t="s">
        <v>63</v>
      </c>
      <c r="E36" s="327"/>
      <c r="F36" s="326" t="s">
        <v>64</v>
      </c>
      <c r="G36" s="327"/>
      <c r="H36" s="139"/>
      <c r="I36" s="129"/>
      <c r="J36" s="129"/>
      <c r="K36" s="134"/>
      <c r="L36" s="134"/>
      <c r="M36" s="135"/>
    </row>
    <row r="37" spans="1:13" s="12" customFormat="1" ht="15.75" customHeight="1" x14ac:dyDescent="0.3">
      <c r="A37" s="142" t="s">
        <v>65</v>
      </c>
      <c r="B37" s="143">
        <v>3</v>
      </c>
      <c r="C37" s="144" t="s">
        <v>66</v>
      </c>
      <c r="D37" s="145" t="s">
        <v>67</v>
      </c>
      <c r="E37" s="146" t="s">
        <v>68</v>
      </c>
      <c r="F37" s="145" t="s">
        <v>67</v>
      </c>
      <c r="G37" s="147" t="s">
        <v>68</v>
      </c>
      <c r="H37" s="139"/>
      <c r="I37" s="129"/>
      <c r="J37" s="129"/>
      <c r="K37" s="134"/>
      <c r="L37" s="134"/>
      <c r="M37" s="135"/>
    </row>
    <row r="38" spans="1:13" s="12" customFormat="1" ht="26.25" customHeight="1" x14ac:dyDescent="0.3">
      <c r="A38" s="142" t="s">
        <v>69</v>
      </c>
      <c r="B38" s="143">
        <v>100</v>
      </c>
      <c r="C38" s="148">
        <v>1</v>
      </c>
      <c r="D38" s="149">
        <v>36427226</v>
      </c>
      <c r="E38" s="150">
        <f>IF(ISBLANK(D38),"-",$D$48/$D$45*D38)</f>
        <v>41016523.835421465</v>
      </c>
      <c r="F38" s="149">
        <v>43315564</v>
      </c>
      <c r="G38" s="151">
        <f>IF(ISBLANK(F38),"-",$D$48/$F$45*F38)</f>
        <v>41274557.756233141</v>
      </c>
      <c r="H38" s="139"/>
      <c r="I38" s="129"/>
      <c r="J38" s="129"/>
      <c r="K38" s="134"/>
      <c r="L38" s="134"/>
      <c r="M38" s="135"/>
    </row>
    <row r="39" spans="1:13" s="12" customFormat="1" ht="26.25" customHeight="1" x14ac:dyDescent="0.3">
      <c r="A39" s="142" t="s">
        <v>70</v>
      </c>
      <c r="B39" s="143">
        <v>1</v>
      </c>
      <c r="C39" s="152">
        <v>2</v>
      </c>
      <c r="D39" s="153">
        <v>36993127</v>
      </c>
      <c r="E39" s="154">
        <f>IF(ISBLANK(D39),"-",$D$48/$D$45*D39)</f>
        <v>41653720.086790949</v>
      </c>
      <c r="F39" s="153">
        <v>43407718</v>
      </c>
      <c r="G39" s="155">
        <f>IF(ISBLANK(F39),"-",$D$48/$F$45*F39)</f>
        <v>41362369.508966357</v>
      </c>
      <c r="H39" s="139"/>
      <c r="I39" s="129"/>
      <c r="J39" s="129"/>
      <c r="K39" s="134"/>
      <c r="L39" s="134"/>
      <c r="M39" s="135"/>
    </row>
    <row r="40" spans="1:13" ht="26.25" customHeight="1" x14ac:dyDescent="0.3">
      <c r="A40" s="142" t="s">
        <v>71</v>
      </c>
      <c r="B40" s="143">
        <v>1</v>
      </c>
      <c r="C40" s="152">
        <v>3</v>
      </c>
      <c r="D40" s="153">
        <v>36348666</v>
      </c>
      <c r="E40" s="154">
        <f>IF(ISBLANK(D40),"-",$D$48/$D$45*D40)</f>
        <v>40928066.424129412</v>
      </c>
      <c r="F40" s="153">
        <v>43219444</v>
      </c>
      <c r="G40" s="155">
        <f>IF(ISBLANK(F40),"-",$D$48/$F$45*F40)</f>
        <v>41182966.87930195</v>
      </c>
      <c r="K40" s="134"/>
      <c r="L40" s="134"/>
      <c r="M40" s="156"/>
    </row>
    <row r="41" spans="1:13" ht="26.25" customHeight="1" x14ac:dyDescent="0.3">
      <c r="A41" s="142" t="s">
        <v>72</v>
      </c>
      <c r="B41" s="143">
        <v>1</v>
      </c>
      <c r="C41" s="157">
        <v>4</v>
      </c>
      <c r="D41" s="158"/>
      <c r="E41" s="159" t="str">
        <f>IF(ISBLANK(D41),"-",$D$48/$D$45*D41)</f>
        <v>-</v>
      </c>
      <c r="F41" s="158"/>
      <c r="G41" s="160" t="str">
        <f>IF(ISBLANK(F41),"-",$D$48/$F$45*F41)</f>
        <v>-</v>
      </c>
      <c r="K41" s="134"/>
      <c r="L41" s="134"/>
      <c r="M41" s="156"/>
    </row>
    <row r="42" spans="1:13" ht="27" customHeight="1" x14ac:dyDescent="0.25">
      <c r="A42" s="142" t="s">
        <v>73</v>
      </c>
      <c r="B42" s="143">
        <v>1</v>
      </c>
      <c r="C42" s="161" t="s">
        <v>74</v>
      </c>
      <c r="D42" s="162">
        <f>AVERAGE(D38:D41)</f>
        <v>36589673</v>
      </c>
      <c r="E42" s="163">
        <f>AVERAGE(E38:E41)</f>
        <v>41199436.782113947</v>
      </c>
      <c r="F42" s="164">
        <f>AVERAGE(F38:F41)</f>
        <v>43314242</v>
      </c>
      <c r="G42" s="165">
        <f>AVERAGE(G38:G41)</f>
        <v>41273298.048167147</v>
      </c>
      <c r="H42" s="166"/>
    </row>
    <row r="43" spans="1:13" ht="26.25" customHeight="1" x14ac:dyDescent="0.3">
      <c r="A43" s="142" t="s">
        <v>75</v>
      </c>
      <c r="B43" s="127">
        <v>1</v>
      </c>
      <c r="C43" s="167" t="s">
        <v>76</v>
      </c>
      <c r="D43" s="168">
        <v>17.78</v>
      </c>
      <c r="E43" s="169"/>
      <c r="F43" s="170">
        <v>21.01</v>
      </c>
      <c r="H43" s="166"/>
    </row>
    <row r="44" spans="1:13" ht="26.25" customHeight="1" x14ac:dyDescent="0.3">
      <c r="A44" s="142" t="s">
        <v>77</v>
      </c>
      <c r="B44" s="127">
        <v>1</v>
      </c>
      <c r="C44" s="171" t="s">
        <v>78</v>
      </c>
      <c r="D44" s="172">
        <f>D43*$B$34</f>
        <v>17.78</v>
      </c>
      <c r="E44" s="173"/>
      <c r="F44" s="174">
        <f>F43*$B$34</f>
        <v>21.01</v>
      </c>
      <c r="H44" s="166"/>
    </row>
    <row r="45" spans="1:13" ht="19.5" customHeight="1" x14ac:dyDescent="0.3">
      <c r="A45" s="142" t="s">
        <v>79</v>
      </c>
      <c r="B45" s="175">
        <f>(B44/B43)*(B42/B41)*(B40/B39)*(B38/B37)*B36</f>
        <v>1666.6666666666667</v>
      </c>
      <c r="C45" s="171" t="s">
        <v>80</v>
      </c>
      <c r="D45" s="176">
        <f>D44*$B$30/100</f>
        <v>17.762220000000003</v>
      </c>
      <c r="E45" s="177"/>
      <c r="F45" s="178">
        <f>F44*$B$30/100</f>
        <v>20.988990000000005</v>
      </c>
      <c r="H45" s="166"/>
    </row>
    <row r="46" spans="1:13" ht="19.5" customHeight="1" x14ac:dyDescent="0.3">
      <c r="A46" s="311" t="s">
        <v>81</v>
      </c>
      <c r="B46" s="312"/>
      <c r="C46" s="171" t="s">
        <v>82</v>
      </c>
      <c r="D46" s="172">
        <f>D45/$B$45</f>
        <v>1.0657332000000002E-2</v>
      </c>
      <c r="E46" s="177"/>
      <c r="F46" s="179">
        <f>F45/$B$45</f>
        <v>1.2593394000000003E-2</v>
      </c>
      <c r="H46" s="166"/>
    </row>
    <row r="47" spans="1:13" ht="27" customHeight="1" x14ac:dyDescent="0.3">
      <c r="A47" s="313"/>
      <c r="B47" s="314"/>
      <c r="C47" s="171" t="s">
        <v>83</v>
      </c>
      <c r="D47" s="180">
        <v>1.2E-2</v>
      </c>
      <c r="F47" s="181"/>
      <c r="H47" s="166"/>
    </row>
    <row r="48" spans="1:13" ht="18.75" x14ac:dyDescent="0.3">
      <c r="C48" s="171" t="s">
        <v>84</v>
      </c>
      <c r="D48" s="172">
        <f>D47*$B$45</f>
        <v>20</v>
      </c>
      <c r="F48" s="181"/>
      <c r="H48" s="166"/>
    </row>
    <row r="49" spans="1:11" ht="19.5" customHeight="1" x14ac:dyDescent="0.3">
      <c r="C49" s="182" t="s">
        <v>85</v>
      </c>
      <c r="D49" s="183">
        <f>D48/B34</f>
        <v>20</v>
      </c>
      <c r="F49" s="184"/>
      <c r="H49" s="166"/>
    </row>
    <row r="50" spans="1:11" ht="18.75" x14ac:dyDescent="0.3">
      <c r="C50" s="185" t="s">
        <v>86</v>
      </c>
      <c r="D50" s="186">
        <f>AVERAGE(E38:E41,G38:G41)</f>
        <v>41236367.415140547</v>
      </c>
      <c r="F50" s="184"/>
      <c r="H50" s="166"/>
    </row>
    <row r="51" spans="1:11" ht="18.75" x14ac:dyDescent="0.3">
      <c r="C51" s="187" t="s">
        <v>87</v>
      </c>
      <c r="D51" s="188">
        <f>STDEV(E38:E41,G38:G41)/D50</f>
        <v>6.3027874562469463E-3</v>
      </c>
      <c r="F51" s="184"/>
    </row>
    <row r="52" spans="1:11" ht="19.5" customHeight="1" x14ac:dyDescent="0.3">
      <c r="C52" s="189" t="s">
        <v>20</v>
      </c>
      <c r="D52" s="190">
        <f>COUNT(E38:E41,G38:G41)</f>
        <v>6</v>
      </c>
      <c r="F52" s="184"/>
    </row>
    <row r="54" spans="1:11" ht="18.75" x14ac:dyDescent="0.3">
      <c r="A54" s="191" t="s">
        <v>1</v>
      </c>
      <c r="B54" s="192" t="s">
        <v>88</v>
      </c>
    </row>
    <row r="55" spans="1:11" ht="18.75" x14ac:dyDescent="0.3">
      <c r="A55" s="119" t="s">
        <v>89</v>
      </c>
      <c r="B55" s="193" t="str">
        <f>B21</f>
        <v>Each capsule contains Omeprazole USP 20MG</v>
      </c>
    </row>
    <row r="56" spans="1:11" ht="26.25" customHeight="1" x14ac:dyDescent="0.3">
      <c r="A56" s="194" t="s">
        <v>90</v>
      </c>
      <c r="B56" s="128">
        <v>20</v>
      </c>
      <c r="C56" s="119" t="str">
        <f>B20</f>
        <v xml:space="preserve">Omeprazole USP  </v>
      </c>
      <c r="H56" s="195"/>
    </row>
    <row r="57" spans="1:11" ht="18.75" x14ac:dyDescent="0.3">
      <c r="A57" s="193" t="s">
        <v>91</v>
      </c>
      <c r="B57" s="296">
        <f>Uniformity!B47</f>
        <v>282.63900000000001</v>
      </c>
      <c r="H57" s="195"/>
    </row>
    <row r="58" spans="1:11" ht="19.5" customHeight="1" x14ac:dyDescent="0.3">
      <c r="H58" s="195"/>
    </row>
    <row r="59" spans="1:11" s="12" customFormat="1" ht="27" customHeight="1" x14ac:dyDescent="0.3">
      <c r="A59" s="140" t="s">
        <v>92</v>
      </c>
      <c r="B59" s="141">
        <v>100</v>
      </c>
      <c r="C59" s="119"/>
      <c r="D59" s="196" t="s">
        <v>93</v>
      </c>
      <c r="E59" s="197" t="s">
        <v>66</v>
      </c>
      <c r="F59" s="197" t="s">
        <v>67</v>
      </c>
      <c r="G59" s="197" t="s">
        <v>94</v>
      </c>
      <c r="H59" s="144" t="s">
        <v>95</v>
      </c>
      <c r="K59" s="129"/>
    </row>
    <row r="60" spans="1:11" s="12" customFormat="1" ht="26.25" customHeight="1" x14ac:dyDescent="0.3">
      <c r="A60" s="142" t="s">
        <v>96</v>
      </c>
      <c r="B60" s="143">
        <v>3</v>
      </c>
      <c r="C60" s="328" t="s">
        <v>97</v>
      </c>
      <c r="D60" s="331">
        <v>263.94</v>
      </c>
      <c r="E60" s="198">
        <v>1</v>
      </c>
      <c r="F60" s="199"/>
      <c r="G60" s="200" t="str">
        <f>IF(ISBLANK(F60),"-",(F60/$D$50*$D$47*$B$68)*($B$57/$D$60))</f>
        <v>-</v>
      </c>
      <c r="H60" s="201" t="str">
        <f t="shared" ref="H60:H71" si="0">IF(ISBLANK(F60),"-",G60/$B$56)</f>
        <v>-</v>
      </c>
      <c r="K60" s="129"/>
    </row>
    <row r="61" spans="1:11" s="12" customFormat="1" ht="26.25" customHeight="1" x14ac:dyDescent="0.3">
      <c r="A61" s="142" t="s">
        <v>98</v>
      </c>
      <c r="B61" s="143">
        <v>50</v>
      </c>
      <c r="C61" s="329"/>
      <c r="D61" s="332"/>
      <c r="E61" s="202">
        <v>2</v>
      </c>
      <c r="F61" s="153"/>
      <c r="G61" s="203" t="str">
        <f>IF(ISBLANK(F61),"-",(F61/$D$50*$D$47*$B$68)*($B$57/$D$60))</f>
        <v>-</v>
      </c>
      <c r="H61" s="204" t="str">
        <f t="shared" si="0"/>
        <v>-</v>
      </c>
      <c r="K61" s="129"/>
    </row>
    <row r="62" spans="1:11" s="12" customFormat="1" ht="26.25" customHeight="1" x14ac:dyDescent="0.3">
      <c r="A62" s="142" t="s">
        <v>99</v>
      </c>
      <c r="B62" s="143">
        <v>1</v>
      </c>
      <c r="C62" s="329"/>
      <c r="D62" s="332"/>
      <c r="E62" s="202">
        <v>3</v>
      </c>
      <c r="F62" s="153"/>
      <c r="G62" s="203" t="str">
        <f>IF(ISBLANK(F62),"-",(F62/$D$50*$D$47*$B$68)*($B$57/$D$60))</f>
        <v>-</v>
      </c>
      <c r="H62" s="204" t="str">
        <f t="shared" si="0"/>
        <v>-</v>
      </c>
      <c r="K62" s="129"/>
    </row>
    <row r="63" spans="1:11" ht="27" customHeight="1" x14ac:dyDescent="0.25">
      <c r="A63" s="142" t="s">
        <v>100</v>
      </c>
      <c r="B63" s="143">
        <v>1</v>
      </c>
      <c r="C63" s="330"/>
      <c r="D63" s="333"/>
      <c r="E63" s="205">
        <v>4</v>
      </c>
      <c r="F63" s="206"/>
      <c r="G63" s="203" t="str">
        <f>IF(ISBLANK(F63),"-",(F63/$D$50*$D$47*$B$68)*($B$57/$D$60))</f>
        <v>-</v>
      </c>
      <c r="H63" s="204" t="str">
        <f t="shared" si="0"/>
        <v>-</v>
      </c>
    </row>
    <row r="64" spans="1:11" ht="26.25" customHeight="1" x14ac:dyDescent="0.25">
      <c r="A64" s="142" t="s">
        <v>101</v>
      </c>
      <c r="B64" s="143">
        <v>1</v>
      </c>
      <c r="C64" s="328" t="s">
        <v>102</v>
      </c>
      <c r="D64" s="331">
        <v>286.89999999999998</v>
      </c>
      <c r="E64" s="198">
        <v>1</v>
      </c>
      <c r="F64" s="199">
        <v>41290597</v>
      </c>
      <c r="G64" s="207">
        <f>IF(ISBLANK(F64),"-",(F64/$D$50*$D$47*$B$68)*($B$57/$D$64))</f>
        <v>19.728873898096953</v>
      </c>
      <c r="H64" s="208">
        <f t="shared" si="0"/>
        <v>0.98644369490484762</v>
      </c>
    </row>
    <row r="65" spans="1:8" ht="26.25" customHeight="1" x14ac:dyDescent="0.25">
      <c r="A65" s="142" t="s">
        <v>103</v>
      </c>
      <c r="B65" s="143">
        <v>1</v>
      </c>
      <c r="C65" s="329"/>
      <c r="D65" s="332"/>
      <c r="E65" s="202">
        <v>2</v>
      </c>
      <c r="F65" s="153">
        <v>40641266</v>
      </c>
      <c r="G65" s="209">
        <f>IF(ISBLANK(F65),"-",(F65/$D$50*$D$47*$B$68)*($B$57/$D$64))</f>
        <v>19.418619982002568</v>
      </c>
      <c r="H65" s="210">
        <f t="shared" si="0"/>
        <v>0.97093099910012837</v>
      </c>
    </row>
    <row r="66" spans="1:8" ht="26.25" customHeight="1" x14ac:dyDescent="0.25">
      <c r="A66" s="142" t="s">
        <v>104</v>
      </c>
      <c r="B66" s="143">
        <v>1</v>
      </c>
      <c r="C66" s="329"/>
      <c r="D66" s="332"/>
      <c r="E66" s="202">
        <v>3</v>
      </c>
      <c r="F66" s="153">
        <v>41619863</v>
      </c>
      <c r="G66" s="209">
        <f>IF(ISBLANK(F66),"-",(F66/$D$50*$D$47*$B$68)*($B$57/$D$64))</f>
        <v>19.886199000297118</v>
      </c>
      <c r="H66" s="210">
        <f t="shared" si="0"/>
        <v>0.99430995001485589</v>
      </c>
    </row>
    <row r="67" spans="1:8" ht="27" customHeight="1" x14ac:dyDescent="0.25">
      <c r="A67" s="142" t="s">
        <v>105</v>
      </c>
      <c r="B67" s="143">
        <v>1</v>
      </c>
      <c r="C67" s="330"/>
      <c r="D67" s="333"/>
      <c r="E67" s="205">
        <v>4</v>
      </c>
      <c r="F67" s="206"/>
      <c r="G67" s="211" t="str">
        <f>IF(ISBLANK(F67),"-",(F67/$D$50*$D$47*$B$68)*($B$57/$D$64))</f>
        <v>-</v>
      </c>
      <c r="H67" s="212" t="str">
        <f t="shared" si="0"/>
        <v>-</v>
      </c>
    </row>
    <row r="68" spans="1:8" ht="26.25" customHeight="1" x14ac:dyDescent="0.25">
      <c r="A68" s="142" t="s">
        <v>106</v>
      </c>
      <c r="B68" s="213">
        <f>(B67/B66)*(B65/B64)*(B63/B62)*(B61/B60)*B59</f>
        <v>1666.6666666666667</v>
      </c>
      <c r="C68" s="328" t="s">
        <v>107</v>
      </c>
      <c r="D68" s="331">
        <v>300.61</v>
      </c>
      <c r="E68" s="198">
        <v>1</v>
      </c>
      <c r="F68" s="199">
        <v>43702666</v>
      </c>
      <c r="G68" s="207">
        <f>IF(ISBLANK(F68),"-",(F68/$D$50*$D$47*$B$68)*($B$57/$D$68))</f>
        <v>19.92903135762888</v>
      </c>
      <c r="H68" s="204">
        <f t="shared" si="0"/>
        <v>0.99645156788144396</v>
      </c>
    </row>
    <row r="69" spans="1:8" ht="27" customHeight="1" x14ac:dyDescent="0.25">
      <c r="A69" s="214" t="s">
        <v>108</v>
      </c>
      <c r="B69" s="298">
        <f>(D47*B68)/B56*B57</f>
        <v>282.63900000000001</v>
      </c>
      <c r="C69" s="329"/>
      <c r="D69" s="332"/>
      <c r="E69" s="202">
        <v>2</v>
      </c>
      <c r="F69" s="153">
        <v>44247912</v>
      </c>
      <c r="G69" s="209">
        <f>IF(ISBLANK(F69),"-",(F69/$D$50*$D$47*$B$68)*($B$57/$D$68))</f>
        <v>20.177671214785914</v>
      </c>
      <c r="H69" s="204">
        <f t="shared" si="0"/>
        <v>1.0088835607392956</v>
      </c>
    </row>
    <row r="70" spans="1:8" ht="26.25" customHeight="1" x14ac:dyDescent="0.25">
      <c r="A70" s="334" t="s">
        <v>81</v>
      </c>
      <c r="B70" s="335"/>
      <c r="C70" s="329"/>
      <c r="D70" s="332"/>
      <c r="E70" s="202">
        <v>3</v>
      </c>
      <c r="F70" s="153">
        <v>43918180</v>
      </c>
      <c r="G70" s="209">
        <f>IF(ISBLANK(F70),"-",(F70/$D$50*$D$47*$B$68)*($B$57/$D$68))</f>
        <v>20.027308777683935</v>
      </c>
      <c r="H70" s="204">
        <f t="shared" si="0"/>
        <v>1.0013654388841968</v>
      </c>
    </row>
    <row r="71" spans="1:8" ht="27" customHeight="1" x14ac:dyDescent="0.25">
      <c r="A71" s="336"/>
      <c r="B71" s="337"/>
      <c r="C71" s="330"/>
      <c r="D71" s="333"/>
      <c r="E71" s="205">
        <v>4</v>
      </c>
      <c r="F71" s="206"/>
      <c r="G71" s="211" t="str">
        <f>IF(ISBLANK(F71),"-",(F71/$D$50*$D$47*$B$68)*($B$57/$D$68))</f>
        <v>-</v>
      </c>
      <c r="H71" s="215" t="str">
        <f t="shared" si="0"/>
        <v>-</v>
      </c>
    </row>
    <row r="72" spans="1:8" ht="26.25" customHeight="1" x14ac:dyDescent="0.25">
      <c r="A72" s="216"/>
      <c r="B72" s="216"/>
      <c r="C72" s="216"/>
      <c r="D72" s="216"/>
      <c r="E72" s="216"/>
      <c r="F72" s="217"/>
      <c r="G72" s="218" t="s">
        <v>74</v>
      </c>
      <c r="H72" s="219">
        <f>AVERAGE(H60:H71)</f>
        <v>0.99306420192079481</v>
      </c>
    </row>
    <row r="73" spans="1:8" ht="26.25" customHeight="1" x14ac:dyDescent="0.3">
      <c r="C73" s="216"/>
      <c r="D73" s="216"/>
      <c r="E73" s="216"/>
      <c r="F73" s="217"/>
      <c r="G73" s="187" t="s">
        <v>87</v>
      </c>
      <c r="H73" s="220">
        <f>STDEV(H60:H71)/H72</f>
        <v>1.3251687357623011E-2</v>
      </c>
    </row>
    <row r="74" spans="1:8" ht="27" customHeight="1" x14ac:dyDescent="0.25">
      <c r="A74" s="216"/>
      <c r="B74" s="216"/>
      <c r="C74" s="217"/>
      <c r="D74" s="217"/>
      <c r="E74" s="221"/>
      <c r="F74" s="217"/>
      <c r="G74" s="189" t="s">
        <v>20</v>
      </c>
      <c r="H74" s="222">
        <f>COUNT(H60:H71)</f>
        <v>6</v>
      </c>
    </row>
    <row r="75" spans="1:8" s="108" customFormat="1" ht="18.75" x14ac:dyDescent="0.2">
      <c r="A75" s="223"/>
      <c r="B75" s="223"/>
      <c r="C75" s="173"/>
      <c r="D75" s="173"/>
      <c r="E75" s="177"/>
      <c r="F75" s="173"/>
      <c r="G75" s="224"/>
      <c r="H75" s="225"/>
    </row>
    <row r="76" spans="1:8" s="108" customFormat="1" ht="26.25" customHeight="1" x14ac:dyDescent="0.2">
      <c r="A76" s="125" t="s">
        <v>109</v>
      </c>
      <c r="B76" s="226" t="s">
        <v>110</v>
      </c>
      <c r="C76" s="338" t="str">
        <f>B20</f>
        <v xml:space="preserve">Omeprazole USP  </v>
      </c>
      <c r="D76" s="338"/>
      <c r="E76" s="227" t="s">
        <v>111</v>
      </c>
      <c r="F76" s="227"/>
      <c r="G76" s="297">
        <f>H72</f>
        <v>0.99306420192079481</v>
      </c>
      <c r="H76" s="225"/>
    </row>
    <row r="77" spans="1:8" ht="18.75" x14ac:dyDescent="0.25">
      <c r="A77" s="216"/>
      <c r="B77" s="216"/>
      <c r="C77" s="217"/>
      <c r="D77" s="217"/>
      <c r="E77" s="221"/>
      <c r="F77" s="217"/>
      <c r="G77" s="228"/>
      <c r="H77" s="225"/>
    </row>
    <row r="78" spans="1:8" ht="18.75" x14ac:dyDescent="0.3">
      <c r="A78" s="124"/>
      <c r="B78" s="124" t="s">
        <v>112</v>
      </c>
    </row>
    <row r="79" spans="1:8" ht="18.75" x14ac:dyDescent="0.3">
      <c r="A79" s="124"/>
      <c r="B79" s="124"/>
    </row>
    <row r="80" spans="1:8" ht="26.25" customHeight="1" x14ac:dyDescent="0.3">
      <c r="A80" s="125" t="s">
        <v>4</v>
      </c>
      <c r="B80" s="128" t="str">
        <f>B26</f>
        <v>Omeprazole</v>
      </c>
    </row>
    <row r="81" spans="1:11" ht="26.25" customHeight="1" x14ac:dyDescent="0.3">
      <c r="A81" s="126" t="s">
        <v>52</v>
      </c>
      <c r="B81" s="128" t="str">
        <f>B27</f>
        <v>014-4</v>
      </c>
    </row>
    <row r="82" spans="1:11" ht="27" customHeight="1" x14ac:dyDescent="0.3">
      <c r="A82" s="126" t="s">
        <v>6</v>
      </c>
      <c r="B82" s="128">
        <f>B28</f>
        <v>99.9</v>
      </c>
    </row>
    <row r="83" spans="1:11" s="12" customFormat="1" ht="27" customHeight="1" x14ac:dyDescent="0.3">
      <c r="A83" s="126" t="s">
        <v>53</v>
      </c>
      <c r="B83" s="128">
        <f>B29</f>
        <v>0</v>
      </c>
      <c r="C83" s="320" t="s">
        <v>54</v>
      </c>
      <c r="D83" s="321"/>
      <c r="E83" s="321"/>
      <c r="F83" s="321"/>
      <c r="G83" s="321"/>
      <c r="H83" s="322"/>
      <c r="I83" s="129"/>
      <c r="J83" s="129"/>
      <c r="K83" s="129"/>
    </row>
    <row r="84" spans="1:11" s="12" customFormat="1" ht="19.5" customHeight="1" x14ac:dyDescent="0.3">
      <c r="A84" s="126" t="s">
        <v>55</v>
      </c>
      <c r="B84" s="130">
        <f>B82-B83</f>
        <v>99.9</v>
      </c>
      <c r="C84" s="131"/>
      <c r="D84" s="131"/>
      <c r="E84" s="131"/>
      <c r="F84" s="131"/>
      <c r="G84" s="131"/>
      <c r="H84" s="132"/>
      <c r="I84" s="129"/>
      <c r="J84" s="129"/>
      <c r="K84" s="129"/>
    </row>
    <row r="85" spans="1:11" s="12" customFormat="1" ht="27" customHeight="1" x14ac:dyDescent="0.3">
      <c r="A85" s="126" t="s">
        <v>56</v>
      </c>
      <c r="B85" s="133">
        <v>1</v>
      </c>
      <c r="C85" s="323" t="s">
        <v>57</v>
      </c>
      <c r="D85" s="324"/>
      <c r="E85" s="324"/>
      <c r="F85" s="324"/>
      <c r="G85" s="324"/>
      <c r="H85" s="325"/>
      <c r="I85" s="129"/>
      <c r="J85" s="129"/>
      <c r="K85" s="129"/>
    </row>
    <row r="86" spans="1:11" s="12" customFormat="1" ht="27" customHeight="1" x14ac:dyDescent="0.3">
      <c r="A86" s="126" t="s">
        <v>58</v>
      </c>
      <c r="B86" s="133">
        <v>1</v>
      </c>
      <c r="C86" s="323" t="s">
        <v>59</v>
      </c>
      <c r="D86" s="324"/>
      <c r="E86" s="324"/>
      <c r="F86" s="324"/>
      <c r="G86" s="324"/>
      <c r="H86" s="325"/>
      <c r="I86" s="129"/>
      <c r="J86" s="129"/>
      <c r="K86" s="129"/>
    </row>
    <row r="87" spans="1:11" s="12" customFormat="1" ht="18.75" x14ac:dyDescent="0.3">
      <c r="A87" s="126"/>
      <c r="B87" s="136"/>
      <c r="C87" s="137"/>
      <c r="D87" s="137"/>
      <c r="E87" s="137"/>
      <c r="F87" s="137"/>
      <c r="G87" s="137"/>
      <c r="H87" s="137"/>
      <c r="I87" s="129"/>
      <c r="J87" s="129"/>
      <c r="K87" s="129"/>
    </row>
    <row r="88" spans="1:11" s="12" customFormat="1" ht="18.75" x14ac:dyDescent="0.3">
      <c r="A88" s="126" t="s">
        <v>60</v>
      </c>
      <c r="B88" s="138">
        <f>B85/B86</f>
        <v>1</v>
      </c>
      <c r="C88" s="119" t="s">
        <v>61</v>
      </c>
      <c r="D88" s="119"/>
      <c r="E88" s="119"/>
      <c r="F88" s="119"/>
      <c r="G88" s="119"/>
      <c r="H88" s="139"/>
      <c r="I88" s="129"/>
      <c r="J88" s="129"/>
      <c r="K88" s="129"/>
    </row>
    <row r="89" spans="1:11" ht="19.5" customHeight="1" x14ac:dyDescent="0.3">
      <c r="A89" s="124"/>
      <c r="B89" s="124"/>
    </row>
    <row r="90" spans="1:11" ht="27" customHeight="1" x14ac:dyDescent="0.3">
      <c r="A90" s="140" t="s">
        <v>62</v>
      </c>
      <c r="B90" s="141">
        <v>50</v>
      </c>
      <c r="D90" s="229" t="s">
        <v>63</v>
      </c>
      <c r="E90" s="230"/>
      <c r="F90" s="326" t="s">
        <v>64</v>
      </c>
      <c r="G90" s="327"/>
    </row>
    <row r="91" spans="1:11" ht="26.25" customHeight="1" x14ac:dyDescent="0.3">
      <c r="A91" s="142" t="s">
        <v>65</v>
      </c>
      <c r="B91" s="143">
        <v>1</v>
      </c>
      <c r="C91" s="231" t="s">
        <v>66</v>
      </c>
      <c r="D91" s="145" t="s">
        <v>67</v>
      </c>
      <c r="E91" s="146" t="s">
        <v>68</v>
      </c>
      <c r="F91" s="145" t="s">
        <v>67</v>
      </c>
      <c r="G91" s="147" t="s">
        <v>68</v>
      </c>
    </row>
    <row r="92" spans="1:11" ht="26.25" customHeight="1" x14ac:dyDescent="0.3">
      <c r="A92" s="142" t="s">
        <v>69</v>
      </c>
      <c r="B92" s="143">
        <v>100</v>
      </c>
      <c r="C92" s="232">
        <v>1</v>
      </c>
      <c r="D92" s="149">
        <v>11147255</v>
      </c>
      <c r="E92" s="150">
        <f>IF(ISBLANK(D92),"-",$D$102/$D$99*D92)</f>
        <v>13946273.48258144</v>
      </c>
      <c r="F92" s="149">
        <v>12927403</v>
      </c>
      <c r="G92" s="151">
        <f>IF(ISBLANK(F92),"-",$D$102/$F$99*F92)</f>
        <v>13686967.41587957</v>
      </c>
    </row>
    <row r="93" spans="1:11" ht="26.25" customHeight="1" x14ac:dyDescent="0.3">
      <c r="A93" s="142" t="s">
        <v>70</v>
      </c>
      <c r="B93" s="143">
        <v>1</v>
      </c>
      <c r="C93" s="217">
        <v>2</v>
      </c>
      <c r="D93" s="153">
        <v>10997293</v>
      </c>
      <c r="E93" s="154">
        <f>IF(ISBLANK(D93),"-",$D$102/$D$99*D93)</f>
        <v>13758656.794527307</v>
      </c>
      <c r="F93" s="153">
        <v>13114264</v>
      </c>
      <c r="G93" s="155">
        <f>IF(ISBLANK(F93),"-",$D$102/$F$99*F93)</f>
        <v>13884807.648623817</v>
      </c>
    </row>
    <row r="94" spans="1:11" ht="26.25" customHeight="1" x14ac:dyDescent="0.3">
      <c r="A94" s="142" t="s">
        <v>71</v>
      </c>
      <c r="B94" s="143">
        <v>1</v>
      </c>
      <c r="C94" s="217">
        <v>3</v>
      </c>
      <c r="D94" s="153">
        <v>10930211</v>
      </c>
      <c r="E94" s="154">
        <f>IF(ISBLANK(D94),"-",$D$102/$D$99*D94)</f>
        <v>13674730.848834082</v>
      </c>
      <c r="F94" s="153">
        <v>13129016</v>
      </c>
      <c r="G94" s="155">
        <f>IF(ISBLANK(F94),"-",$D$102/$F$99*F94)</f>
        <v>13900426.419332756</v>
      </c>
    </row>
    <row r="95" spans="1:11" ht="26.25" customHeight="1" x14ac:dyDescent="0.3">
      <c r="A95" s="142" t="s">
        <v>72</v>
      </c>
      <c r="B95" s="143">
        <v>1</v>
      </c>
      <c r="C95" s="233">
        <v>4</v>
      </c>
      <c r="D95" s="158"/>
      <c r="E95" s="159" t="str">
        <f>IF(ISBLANK(D95),"-",$D$102/$D$99*D95)</f>
        <v>-</v>
      </c>
      <c r="F95" s="234"/>
      <c r="G95" s="160" t="str">
        <f>IF(ISBLANK(F95),"-",$D$102/$F$99*F95)</f>
        <v>-</v>
      </c>
    </row>
    <row r="96" spans="1:11" ht="27" customHeight="1" x14ac:dyDescent="0.3">
      <c r="A96" s="142" t="s">
        <v>73</v>
      </c>
      <c r="B96" s="143">
        <v>1</v>
      </c>
      <c r="C96" s="228" t="s">
        <v>74</v>
      </c>
      <c r="D96" s="235">
        <f>AVERAGE(D92:D95)</f>
        <v>11024919.666666666</v>
      </c>
      <c r="E96" s="163">
        <f>AVERAGE(E92:E95)</f>
        <v>13793220.375314275</v>
      </c>
      <c r="F96" s="236">
        <f>AVERAGE(F92:F95)</f>
        <v>13056894.333333334</v>
      </c>
      <c r="G96" s="237">
        <f>AVERAGE(G92:G95)</f>
        <v>13824067.161278715</v>
      </c>
    </row>
    <row r="97" spans="1:9" ht="26.25" customHeight="1" x14ac:dyDescent="0.3">
      <c r="A97" s="142" t="s">
        <v>75</v>
      </c>
      <c r="B97" s="127">
        <v>1</v>
      </c>
      <c r="C97" s="167" t="s">
        <v>76</v>
      </c>
      <c r="D97" s="238">
        <v>17.78</v>
      </c>
      <c r="E97" s="169"/>
      <c r="F97" s="170">
        <v>21.01</v>
      </c>
    </row>
    <row r="98" spans="1:9" ht="26.25" customHeight="1" x14ac:dyDescent="0.3">
      <c r="A98" s="142" t="s">
        <v>77</v>
      </c>
      <c r="B98" s="127">
        <v>1</v>
      </c>
      <c r="C98" s="171" t="s">
        <v>78</v>
      </c>
      <c r="D98" s="172">
        <f>D97*$B$88</f>
        <v>17.78</v>
      </c>
      <c r="E98" s="173"/>
      <c r="F98" s="174">
        <f>F97*$B$88</f>
        <v>21.01</v>
      </c>
    </row>
    <row r="99" spans="1:9" ht="19.5" customHeight="1" x14ac:dyDescent="0.3">
      <c r="A99" s="142" t="s">
        <v>79</v>
      </c>
      <c r="B99" s="175">
        <f>(B98/B97)*(B96/B95)*(B94/B93)*(B92/B91)*B90</f>
        <v>5000</v>
      </c>
      <c r="C99" s="171" t="s">
        <v>80</v>
      </c>
      <c r="D99" s="176">
        <f>D98*$B$84/100</f>
        <v>17.762220000000003</v>
      </c>
      <c r="E99" s="177"/>
      <c r="F99" s="178">
        <f>F98*$B$84/100</f>
        <v>20.988990000000005</v>
      </c>
    </row>
    <row r="100" spans="1:9" ht="19.5" customHeight="1" x14ac:dyDescent="0.25">
      <c r="A100" s="311" t="s">
        <v>81</v>
      </c>
      <c r="B100" s="342"/>
      <c r="C100" s="171" t="s">
        <v>82</v>
      </c>
      <c r="D100" s="239">
        <f>D99/$B$99</f>
        <v>3.5524440000000005E-3</v>
      </c>
      <c r="E100" s="177"/>
      <c r="F100" s="240">
        <f>F99/$B$99</f>
        <v>4.1977980000000008E-3</v>
      </c>
      <c r="G100" s="241"/>
      <c r="H100" s="166"/>
    </row>
    <row r="101" spans="1:9" ht="19.5" customHeight="1" x14ac:dyDescent="0.3">
      <c r="A101" s="313"/>
      <c r="B101" s="343"/>
      <c r="C101" s="171" t="s">
        <v>83</v>
      </c>
      <c r="D101" s="242">
        <f>$B$56/$B$136</f>
        <v>4.4444444444444444E-3</v>
      </c>
      <c r="F101" s="181"/>
      <c r="G101" s="243"/>
      <c r="H101" s="166"/>
    </row>
    <row r="102" spans="1:9" ht="18.75" x14ac:dyDescent="0.3">
      <c r="C102" s="171" t="s">
        <v>84</v>
      </c>
      <c r="D102" s="172">
        <f>D101*$B$99</f>
        <v>22.222222222222221</v>
      </c>
      <c r="F102" s="181"/>
      <c r="G102" s="241"/>
      <c r="H102" s="166"/>
    </row>
    <row r="103" spans="1:9" ht="19.5" customHeight="1" x14ac:dyDescent="0.3">
      <c r="C103" s="182" t="s">
        <v>85</v>
      </c>
      <c r="D103" s="244">
        <f>D102/B34</f>
        <v>22.222222222222221</v>
      </c>
      <c r="F103" s="184"/>
      <c r="G103" s="241"/>
      <c r="H103" s="166"/>
      <c r="I103" s="245"/>
    </row>
    <row r="104" spans="1:9" ht="18.75" x14ac:dyDescent="0.3">
      <c r="C104" s="185" t="s">
        <v>113</v>
      </c>
      <c r="D104" s="186">
        <f>AVERAGE(E92:E95,G92:G95)</f>
        <v>13808643.768296495</v>
      </c>
      <c r="F104" s="184"/>
      <c r="G104" s="246"/>
      <c r="H104" s="166"/>
      <c r="I104" s="247"/>
    </row>
    <row r="105" spans="1:9" ht="18.75" x14ac:dyDescent="0.3">
      <c r="C105" s="187" t="s">
        <v>87</v>
      </c>
      <c r="D105" s="248">
        <f>STDEV(E92:E95,G92:G95)/D104</f>
        <v>8.4703804777991176E-3</v>
      </c>
      <c r="F105" s="184"/>
      <c r="G105" s="241"/>
      <c r="H105" s="166"/>
      <c r="I105" s="247"/>
    </row>
    <row r="106" spans="1:9" ht="19.5" customHeight="1" x14ac:dyDescent="0.3">
      <c r="C106" s="189" t="s">
        <v>20</v>
      </c>
      <c r="D106" s="249">
        <f>COUNT(E92:E95,G92:G95)</f>
        <v>6</v>
      </c>
      <c r="F106" s="184"/>
      <c r="G106" s="241"/>
      <c r="H106" s="166"/>
      <c r="I106" s="247"/>
    </row>
    <row r="107" spans="1:9" s="108" customFormat="1" ht="18.75" x14ac:dyDescent="0.3">
      <c r="A107" s="250"/>
      <c r="B107" s="250"/>
      <c r="C107" s="224"/>
      <c r="D107" s="225"/>
      <c r="E107" s="250"/>
      <c r="F107" s="184"/>
      <c r="G107" s="251"/>
      <c r="H107" s="252"/>
      <c r="I107" s="247"/>
    </row>
    <row r="108" spans="1:9" s="108" customFormat="1" ht="18.75" x14ac:dyDescent="0.3">
      <c r="A108" s="124" t="s">
        <v>114</v>
      </c>
      <c r="B108" s="250"/>
      <c r="C108" s="224"/>
      <c r="D108" s="225"/>
      <c r="E108" s="250"/>
      <c r="F108" s="184"/>
      <c r="G108" s="251"/>
      <c r="H108" s="252"/>
      <c r="I108" s="247"/>
    </row>
    <row r="109" spans="1:9" ht="19.5" customHeight="1" x14ac:dyDescent="0.3">
      <c r="A109" s="191"/>
      <c r="B109" s="191"/>
      <c r="C109" s="191"/>
      <c r="D109" s="191"/>
      <c r="E109" s="191"/>
    </row>
    <row r="110" spans="1:9" ht="26.25" customHeight="1" x14ac:dyDescent="0.3">
      <c r="A110" s="140" t="s">
        <v>115</v>
      </c>
      <c r="B110" s="141">
        <v>700</v>
      </c>
      <c r="C110" s="253" t="s">
        <v>41</v>
      </c>
      <c r="D110" s="254" t="s">
        <v>67</v>
      </c>
      <c r="E110" s="255" t="s">
        <v>116</v>
      </c>
      <c r="F110" s="256" t="s">
        <v>117</v>
      </c>
    </row>
    <row r="111" spans="1:9" ht="26.25" customHeight="1" x14ac:dyDescent="0.3">
      <c r="A111" s="142" t="s">
        <v>96</v>
      </c>
      <c r="B111" s="143">
        <v>5</v>
      </c>
      <c r="C111" s="257">
        <v>1</v>
      </c>
      <c r="D111" s="258">
        <v>5488</v>
      </c>
      <c r="E111" s="259">
        <f t="shared" ref="E111:E116" si="1">IF(ISBLANK(D111),"-",D111/$D$104*$D$101*$B$119)</f>
        <v>6.1822790363300411E-3</v>
      </c>
      <c r="F111" s="260">
        <f t="shared" ref="F111:F116" si="2">IF(ISBLANK(D111), "-", E111/$B$56)</f>
        <v>3.0911395181650205E-4</v>
      </c>
    </row>
    <row r="112" spans="1:9" ht="26.25" customHeight="1" x14ac:dyDescent="0.3">
      <c r="A112" s="142" t="s">
        <v>98</v>
      </c>
      <c r="B112" s="143">
        <v>25</v>
      </c>
      <c r="C112" s="257">
        <v>2</v>
      </c>
      <c r="D112" s="258">
        <v>2141</v>
      </c>
      <c r="E112" s="261">
        <f t="shared" si="1"/>
        <v>2.4118548499968326E-3</v>
      </c>
      <c r="F112" s="262">
        <f t="shared" si="2"/>
        <v>1.2059274249984163E-4</v>
      </c>
    </row>
    <row r="113" spans="1:9" ht="26.25" customHeight="1" x14ac:dyDescent="0.3">
      <c r="A113" s="142" t="s">
        <v>99</v>
      </c>
      <c r="B113" s="143">
        <v>1</v>
      </c>
      <c r="C113" s="257">
        <v>3</v>
      </c>
      <c r="D113" s="258">
        <v>1271</v>
      </c>
      <c r="E113" s="261">
        <f t="shared" si="1"/>
        <v>1.4317923934357658E-3</v>
      </c>
      <c r="F113" s="262">
        <f t="shared" si="2"/>
        <v>7.1589619671788297E-5</v>
      </c>
    </row>
    <row r="114" spans="1:9" ht="26.25" customHeight="1" x14ac:dyDescent="0.3">
      <c r="A114" s="142" t="s">
        <v>100</v>
      </c>
      <c r="B114" s="143">
        <v>1</v>
      </c>
      <c r="C114" s="257">
        <v>4</v>
      </c>
      <c r="D114" s="258">
        <v>11328</v>
      </c>
      <c r="E114" s="261">
        <f t="shared" si="1"/>
        <v>1.2761089089567549E-2</v>
      </c>
      <c r="F114" s="262">
        <f t="shared" si="2"/>
        <v>6.3805445447837744E-4</v>
      </c>
    </row>
    <row r="115" spans="1:9" ht="26.25" customHeight="1" x14ac:dyDescent="0.3">
      <c r="A115" s="142" t="s">
        <v>101</v>
      </c>
      <c r="B115" s="143">
        <v>1</v>
      </c>
      <c r="C115" s="257">
        <v>5</v>
      </c>
      <c r="D115" s="258">
        <v>2870</v>
      </c>
      <c r="E115" s="261">
        <f t="shared" si="1"/>
        <v>3.2330795980807614E-3</v>
      </c>
      <c r="F115" s="262">
        <f t="shared" si="2"/>
        <v>1.6165397990403806E-4</v>
      </c>
    </row>
    <row r="116" spans="1:9" ht="26.25" customHeight="1" x14ac:dyDescent="0.3">
      <c r="A116" s="142" t="s">
        <v>103</v>
      </c>
      <c r="B116" s="143">
        <v>1</v>
      </c>
      <c r="C116" s="263">
        <v>6</v>
      </c>
      <c r="D116" s="264">
        <v>1004</v>
      </c>
      <c r="E116" s="265">
        <f t="shared" si="1"/>
        <v>1.1310146050428867E-3</v>
      </c>
      <c r="F116" s="266">
        <f t="shared" si="2"/>
        <v>5.6550730252144337E-5</v>
      </c>
    </row>
    <row r="117" spans="1:9" ht="26.25" customHeight="1" x14ac:dyDescent="0.3">
      <c r="A117" s="142" t="s">
        <v>104</v>
      </c>
      <c r="B117" s="143">
        <v>1</v>
      </c>
      <c r="C117" s="257"/>
      <c r="D117" s="217"/>
      <c r="E117" s="227"/>
      <c r="F117" s="267"/>
    </row>
    <row r="118" spans="1:9" ht="26.25" customHeight="1" x14ac:dyDescent="0.3">
      <c r="A118" s="142" t="s">
        <v>105</v>
      </c>
      <c r="B118" s="143">
        <v>1</v>
      </c>
      <c r="C118" s="257"/>
      <c r="D118" s="268"/>
      <c r="E118" s="269" t="s">
        <v>74</v>
      </c>
      <c r="F118" s="270">
        <f>AVERAGE(F111:F116)</f>
        <v>2.2625924643711532E-4</v>
      </c>
    </row>
    <row r="119" spans="1:9" ht="27" customHeight="1" x14ac:dyDescent="0.3">
      <c r="A119" s="142" t="s">
        <v>106</v>
      </c>
      <c r="B119" s="271">
        <f>(B118/B117)*(B116/B115)*(B114/B113)*(B112/B111)*B110</f>
        <v>3500</v>
      </c>
      <c r="C119" s="272"/>
      <c r="D119" s="273"/>
      <c r="E119" s="228" t="s">
        <v>87</v>
      </c>
      <c r="F119" s="274">
        <f>STDEV(F111:F116)/F118</f>
        <v>0.97735168071131473</v>
      </c>
    </row>
    <row r="120" spans="1:9" ht="27" customHeight="1" x14ac:dyDescent="0.3">
      <c r="A120" s="311" t="s">
        <v>81</v>
      </c>
      <c r="B120" s="312"/>
      <c r="C120" s="275"/>
      <c r="D120" s="276"/>
      <c r="E120" s="277" t="s">
        <v>20</v>
      </c>
      <c r="F120" s="278">
        <f>COUNT(F111:F116)</f>
        <v>6</v>
      </c>
      <c r="I120" s="247"/>
    </row>
    <row r="121" spans="1:9" ht="19.5" customHeight="1" x14ac:dyDescent="0.25">
      <c r="A121" s="313"/>
      <c r="B121" s="314"/>
      <c r="C121" s="227"/>
      <c r="D121" s="227"/>
      <c r="E121" s="227"/>
      <c r="F121" s="217"/>
      <c r="G121" s="227"/>
      <c r="H121" s="227"/>
    </row>
    <row r="122" spans="1:9" ht="18.75" x14ac:dyDescent="0.25">
      <c r="A122" s="137"/>
      <c r="B122" s="137"/>
      <c r="C122" s="227"/>
      <c r="D122" s="227"/>
      <c r="E122" s="227"/>
      <c r="F122" s="217"/>
      <c r="G122" s="227"/>
      <c r="H122" s="227"/>
    </row>
    <row r="123" spans="1:9" ht="26.25" customHeight="1" x14ac:dyDescent="0.25">
      <c r="A123" s="125" t="s">
        <v>118</v>
      </c>
      <c r="B123" s="226" t="s">
        <v>119</v>
      </c>
      <c r="C123" s="338" t="str">
        <f>B20</f>
        <v xml:space="preserve">Omeprazole USP  </v>
      </c>
      <c r="D123" s="338"/>
      <c r="E123" s="227" t="s">
        <v>120</v>
      </c>
      <c r="F123" s="227"/>
      <c r="G123" s="297">
        <f>F118</f>
        <v>2.2625924643711532E-4</v>
      </c>
      <c r="H123" s="227"/>
    </row>
    <row r="124" spans="1:9" ht="18.75" x14ac:dyDescent="0.25">
      <c r="A124" s="137"/>
      <c r="B124" s="137"/>
      <c r="C124" s="227"/>
      <c r="D124" s="227"/>
      <c r="E124" s="227"/>
      <c r="F124" s="217"/>
      <c r="G124" s="227"/>
      <c r="H124" s="227"/>
    </row>
    <row r="125" spans="1:9" ht="18.75" x14ac:dyDescent="0.3">
      <c r="A125" s="124" t="s">
        <v>121</v>
      </c>
      <c r="B125" s="124"/>
    </row>
    <row r="126" spans="1:9" ht="19.5" customHeight="1" x14ac:dyDescent="0.3">
      <c r="A126" s="191"/>
      <c r="B126" s="191"/>
      <c r="C126" s="191"/>
      <c r="D126" s="191"/>
      <c r="E126" s="191"/>
    </row>
    <row r="127" spans="1:9" ht="26.25" customHeight="1" x14ac:dyDescent="0.3">
      <c r="A127" s="140" t="s">
        <v>115</v>
      </c>
      <c r="B127" s="141">
        <v>900</v>
      </c>
      <c r="C127" s="253" t="s">
        <v>41</v>
      </c>
      <c r="D127" s="254" t="s">
        <v>67</v>
      </c>
      <c r="E127" s="255" t="s">
        <v>116</v>
      </c>
      <c r="F127" s="256" t="s">
        <v>117</v>
      </c>
    </row>
    <row r="128" spans="1:9" ht="26.25" customHeight="1" x14ac:dyDescent="0.3">
      <c r="A128" s="142" t="s">
        <v>96</v>
      </c>
      <c r="B128" s="143">
        <v>5</v>
      </c>
      <c r="C128" s="257">
        <v>1</v>
      </c>
      <c r="D128" s="258">
        <v>10826019</v>
      </c>
      <c r="E128" s="279">
        <f t="shared" ref="E128:E133" si="3">IF(ISBLANK(D128),"-",D128/$D$104*$D$101*$B$136)</f>
        <v>15.680061245197221</v>
      </c>
      <c r="F128" s="280">
        <f t="shared" ref="F128:F133" si="4">IF(ISBLANK(D128), "-", E128/$B$56)</f>
        <v>0.78400306225986105</v>
      </c>
    </row>
    <row r="129" spans="1:9" ht="26.25" customHeight="1" x14ac:dyDescent="0.3">
      <c r="A129" s="142" t="s">
        <v>98</v>
      </c>
      <c r="B129" s="143">
        <v>25</v>
      </c>
      <c r="C129" s="257">
        <v>2</v>
      </c>
      <c r="D129" s="258">
        <v>12408674</v>
      </c>
      <c r="E129" s="281">
        <f t="shared" si="3"/>
        <v>17.972328359269131</v>
      </c>
      <c r="F129" s="282">
        <f t="shared" si="4"/>
        <v>0.89861641796345659</v>
      </c>
    </row>
    <row r="130" spans="1:9" ht="26.25" customHeight="1" x14ac:dyDescent="0.3">
      <c r="A130" s="142" t="s">
        <v>99</v>
      </c>
      <c r="B130" s="143">
        <v>1</v>
      </c>
      <c r="C130" s="257">
        <v>3</v>
      </c>
      <c r="D130" s="258">
        <v>13225646</v>
      </c>
      <c r="E130" s="281">
        <f t="shared" si="3"/>
        <v>19.15560459364589</v>
      </c>
      <c r="F130" s="282">
        <f t="shared" si="4"/>
        <v>0.95778022968229448</v>
      </c>
    </row>
    <row r="131" spans="1:9" ht="26.25" customHeight="1" x14ac:dyDescent="0.3">
      <c r="A131" s="142" t="s">
        <v>100</v>
      </c>
      <c r="B131" s="143">
        <v>1</v>
      </c>
      <c r="C131" s="257">
        <v>4</v>
      </c>
      <c r="D131" s="258">
        <v>10821086</v>
      </c>
      <c r="E131" s="281">
        <f t="shared" si="3"/>
        <v>15.672916445052076</v>
      </c>
      <c r="F131" s="282">
        <f t="shared" si="4"/>
        <v>0.78364582225260382</v>
      </c>
    </row>
    <row r="132" spans="1:9" ht="26.25" customHeight="1" x14ac:dyDescent="0.3">
      <c r="A132" s="142" t="s">
        <v>101</v>
      </c>
      <c r="B132" s="143">
        <v>1</v>
      </c>
      <c r="C132" s="257">
        <v>5</v>
      </c>
      <c r="D132" s="258">
        <v>12545946</v>
      </c>
      <c r="E132" s="281">
        <f t="shared" si="3"/>
        <v>18.171148753658855</v>
      </c>
      <c r="F132" s="282">
        <f t="shared" si="4"/>
        <v>0.90855743768294273</v>
      </c>
    </row>
    <row r="133" spans="1:9" ht="26.25" customHeight="1" x14ac:dyDescent="0.3">
      <c r="A133" s="142" t="s">
        <v>103</v>
      </c>
      <c r="B133" s="143">
        <v>1</v>
      </c>
      <c r="C133" s="263">
        <v>6</v>
      </c>
      <c r="D133" s="264">
        <v>13174521</v>
      </c>
      <c r="E133" s="283">
        <f t="shared" si="3"/>
        <v>19.081556771342907</v>
      </c>
      <c r="F133" s="284">
        <f t="shared" si="4"/>
        <v>0.95407783856714534</v>
      </c>
    </row>
    <row r="134" spans="1:9" ht="26.25" customHeight="1" x14ac:dyDescent="0.3">
      <c r="A134" s="142" t="s">
        <v>104</v>
      </c>
      <c r="B134" s="143">
        <v>1</v>
      </c>
      <c r="C134" s="257"/>
      <c r="D134" s="217"/>
      <c r="E134" s="227"/>
      <c r="F134" s="267"/>
    </row>
    <row r="135" spans="1:9" ht="26.25" customHeight="1" x14ac:dyDescent="0.3">
      <c r="A135" s="142" t="s">
        <v>105</v>
      </c>
      <c r="B135" s="143">
        <v>1</v>
      </c>
      <c r="C135" s="257"/>
      <c r="D135" s="268"/>
      <c r="E135" s="269" t="s">
        <v>74</v>
      </c>
      <c r="F135" s="270">
        <f>AVERAGE(F128:F133)</f>
        <v>0.88111346806805058</v>
      </c>
    </row>
    <row r="136" spans="1:9" ht="27" customHeight="1" x14ac:dyDescent="0.3">
      <c r="A136" s="142" t="s">
        <v>106</v>
      </c>
      <c r="B136" s="143">
        <f>(B135/B134)*(B133/B132)*(B131/B130)*(B129/B128)*B127</f>
        <v>4500</v>
      </c>
      <c r="C136" s="272"/>
      <c r="D136" s="227"/>
      <c r="E136" s="285" t="s">
        <v>87</v>
      </c>
      <c r="F136" s="274">
        <f>STDEV(F128:F133)/F135</f>
        <v>8.9639869191684582E-2</v>
      </c>
    </row>
    <row r="137" spans="1:9" ht="27" customHeight="1" x14ac:dyDescent="0.3">
      <c r="A137" s="311" t="s">
        <v>81</v>
      </c>
      <c r="B137" s="312"/>
      <c r="C137" s="275"/>
      <c r="D137" s="286"/>
      <c r="E137" s="287" t="s">
        <v>20</v>
      </c>
      <c r="F137" s="278">
        <f>COUNT(F128:F133)</f>
        <v>6</v>
      </c>
      <c r="I137" s="247"/>
    </row>
    <row r="138" spans="1:9" ht="19.5" customHeight="1" x14ac:dyDescent="0.25">
      <c r="A138" s="313"/>
      <c r="B138" s="314"/>
      <c r="C138" s="227"/>
      <c r="D138" s="227"/>
      <c r="E138" s="227"/>
      <c r="F138" s="217"/>
      <c r="G138" s="227"/>
      <c r="H138" s="227"/>
    </row>
    <row r="139" spans="1:9" ht="18.75" x14ac:dyDescent="0.25">
      <c r="A139" s="137"/>
      <c r="B139" s="137"/>
      <c r="C139" s="227"/>
      <c r="D139" s="227"/>
      <c r="E139" s="227"/>
      <c r="F139" s="217"/>
      <c r="G139" s="227"/>
      <c r="H139" s="227"/>
    </row>
    <row r="140" spans="1:9" ht="26.25" customHeight="1" x14ac:dyDescent="0.25">
      <c r="A140" s="125" t="s">
        <v>118</v>
      </c>
      <c r="B140" s="226" t="s">
        <v>119</v>
      </c>
      <c r="C140" s="338" t="str">
        <f>B20</f>
        <v xml:space="preserve">Omeprazole USP  </v>
      </c>
      <c r="D140" s="338"/>
      <c r="E140" s="227" t="s">
        <v>120</v>
      </c>
      <c r="F140" s="227"/>
      <c r="G140" s="297">
        <f>F135</f>
        <v>0.88111346806805058</v>
      </c>
      <c r="H140" s="227"/>
    </row>
    <row r="141" spans="1:9" ht="19.5" customHeight="1" x14ac:dyDescent="0.25">
      <c r="A141" s="288"/>
      <c r="B141" s="288"/>
      <c r="C141" s="289"/>
      <c r="D141" s="289"/>
      <c r="E141" s="289"/>
      <c r="F141" s="289"/>
      <c r="G141" s="289"/>
      <c r="H141" s="289"/>
    </row>
    <row r="142" spans="1:9" ht="18.75" x14ac:dyDescent="0.3">
      <c r="B142" s="339" t="s">
        <v>26</v>
      </c>
      <c r="C142" s="339"/>
      <c r="E142" s="231" t="s">
        <v>27</v>
      </c>
      <c r="F142" s="290"/>
      <c r="G142" s="339" t="s">
        <v>28</v>
      </c>
      <c r="H142" s="339"/>
    </row>
    <row r="143" spans="1:9" ht="60" customHeight="1" x14ac:dyDescent="0.3">
      <c r="A143" s="291" t="s">
        <v>29</v>
      </c>
      <c r="B143" s="340"/>
      <c r="C143" s="340"/>
      <c r="E143" s="292"/>
      <c r="F143" s="227"/>
      <c r="G143" s="293"/>
      <c r="H143" s="293"/>
    </row>
    <row r="144" spans="1:9" ht="60" customHeight="1" x14ac:dyDescent="0.3">
      <c r="A144" s="291" t="s">
        <v>30</v>
      </c>
      <c r="B144" s="341"/>
      <c r="C144" s="341"/>
      <c r="E144" s="294"/>
      <c r="F144" s="227"/>
      <c r="G144" s="295"/>
      <c r="H144" s="295"/>
    </row>
    <row r="145" spans="1:8" ht="18.75" x14ac:dyDescent="0.25">
      <c r="A145" s="216"/>
      <c r="B145" s="216"/>
      <c r="C145" s="217"/>
      <c r="D145" s="217"/>
      <c r="E145" s="217"/>
      <c r="F145" s="221"/>
      <c r="G145" s="217"/>
      <c r="H145" s="217"/>
    </row>
    <row r="146" spans="1:8" ht="18.75" x14ac:dyDescent="0.25">
      <c r="A146" s="216"/>
      <c r="B146" s="216"/>
      <c r="C146" s="217"/>
      <c r="D146" s="217"/>
      <c r="E146" s="217"/>
      <c r="F146" s="221"/>
      <c r="G146" s="217"/>
      <c r="H146" s="217"/>
    </row>
    <row r="147" spans="1:8" ht="18.75" x14ac:dyDescent="0.25">
      <c r="A147" s="216"/>
      <c r="B147" s="216"/>
      <c r="C147" s="217"/>
      <c r="D147" s="217"/>
      <c r="E147" s="217"/>
      <c r="F147" s="221"/>
      <c r="G147" s="217"/>
      <c r="H147" s="217"/>
    </row>
    <row r="148" spans="1:8" ht="18.75" x14ac:dyDescent="0.25">
      <c r="A148" s="216"/>
      <c r="B148" s="216"/>
      <c r="C148" s="217"/>
      <c r="D148" s="217"/>
      <c r="E148" s="217"/>
      <c r="F148" s="221"/>
      <c r="G148" s="217"/>
      <c r="H148" s="217"/>
    </row>
    <row r="149" spans="1:8" ht="18.75" x14ac:dyDescent="0.25">
      <c r="A149" s="216"/>
      <c r="B149" s="216"/>
      <c r="C149" s="217"/>
      <c r="D149" s="217"/>
      <c r="E149" s="217"/>
      <c r="F149" s="221"/>
      <c r="G149" s="217"/>
      <c r="H149" s="217"/>
    </row>
    <row r="150" spans="1:8" ht="18.75" x14ac:dyDescent="0.25">
      <c r="A150" s="216"/>
      <c r="B150" s="216"/>
      <c r="C150" s="217"/>
      <c r="D150" s="217"/>
      <c r="E150" s="217"/>
      <c r="F150" s="221"/>
      <c r="G150" s="217"/>
      <c r="H150" s="217"/>
    </row>
    <row r="151" spans="1:8" ht="18.75" x14ac:dyDescent="0.25">
      <c r="A151" s="216"/>
      <c r="B151" s="216"/>
      <c r="C151" s="217"/>
      <c r="D151" s="217"/>
      <c r="E151" s="217"/>
      <c r="F151" s="221"/>
      <c r="G151" s="217"/>
      <c r="H151" s="217"/>
    </row>
    <row r="152" spans="1:8" ht="18.75" x14ac:dyDescent="0.25">
      <c r="A152" s="216"/>
      <c r="B152" s="216"/>
      <c r="C152" s="217"/>
      <c r="D152" s="217"/>
      <c r="E152" s="217"/>
      <c r="F152" s="221"/>
      <c r="G152" s="217"/>
      <c r="H152" s="217"/>
    </row>
    <row r="153" spans="1:8" ht="18.75" x14ac:dyDescent="0.25">
      <c r="A153" s="216"/>
      <c r="B153" s="216"/>
      <c r="C153" s="217"/>
      <c r="D153" s="217"/>
      <c r="E153" s="217"/>
      <c r="F153" s="221"/>
      <c r="G153" s="217"/>
      <c r="H153" s="217"/>
    </row>
    <row r="250" spans="1:1" x14ac:dyDescent="0.3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A70:B71"/>
    <mergeCell ref="C76:D76"/>
    <mergeCell ref="C83:H83"/>
    <mergeCell ref="C85:H85"/>
    <mergeCell ref="C86:H86"/>
    <mergeCell ref="F90:G90"/>
    <mergeCell ref="C60:C63"/>
    <mergeCell ref="D60:D63"/>
    <mergeCell ref="C64:C67"/>
    <mergeCell ref="D64:D67"/>
    <mergeCell ref="C68:C71"/>
    <mergeCell ref="D68:D71"/>
    <mergeCell ref="A1:H7"/>
    <mergeCell ref="A8:H14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3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1:K37"/>
  <sheetViews>
    <sheetView workbookViewId="0">
      <selection activeCell="K31" sqref="K31"/>
    </sheetView>
  </sheetViews>
  <sheetFormatPr defaultRowHeight="12.75" x14ac:dyDescent="0.2"/>
  <sheetData>
    <row r="21" spans="9:11" x14ac:dyDescent="0.2">
      <c r="K21">
        <f>15/50*5/50</f>
        <v>0.03</v>
      </c>
    </row>
    <row r="22" spans="9:11" x14ac:dyDescent="0.2">
      <c r="K22">
        <v>1</v>
      </c>
    </row>
    <row r="24" spans="9:11" x14ac:dyDescent="0.2">
      <c r="I24">
        <f>24*1.2</f>
        <v>28.799999999999997</v>
      </c>
    </row>
    <row r="27" spans="9:11" x14ac:dyDescent="0.2">
      <c r="K27">
        <f>30/100*10/100</f>
        <v>0.03</v>
      </c>
    </row>
    <row r="31" spans="9:11" x14ac:dyDescent="0.2">
      <c r="K31">
        <f>30/50*5/20</f>
        <v>0.15</v>
      </c>
    </row>
    <row r="33" spans="5:8" x14ac:dyDescent="0.2">
      <c r="E33">
        <f>20/900</f>
        <v>2.2222222222222223E-2</v>
      </c>
    </row>
    <row r="36" spans="5:8" x14ac:dyDescent="0.2">
      <c r="H36">
        <f>47-4</f>
        <v>43</v>
      </c>
    </row>
    <row r="37" spans="5:8" x14ac:dyDescent="0.2">
      <c r="F37">
        <f>35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</vt:lpstr>
      <vt:lpstr>Uniformity</vt:lpstr>
      <vt:lpstr>omeprazole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2016-08-09T13:32:10Z</cp:lastPrinted>
  <dcterms:created xsi:type="dcterms:W3CDTF">2005-07-05T10:19:27Z</dcterms:created>
  <dcterms:modified xsi:type="dcterms:W3CDTF">2016-08-09T13:33:00Z</dcterms:modified>
</cp:coreProperties>
</file>