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2"/>
  </bookViews>
  <sheets>
    <sheet name="SST" sheetId="1" r:id="rId1"/>
    <sheet name="Uniformity" sheetId="2" r:id="rId2"/>
    <sheet name="Artesunate" sheetId="3" r:id="rId3"/>
    <sheet name="Sheet1" sheetId="4" r:id="rId4"/>
  </sheets>
  <definedNames>
    <definedName name="_xlnm.Print_Area" localSheetId="2">Artesunate!$A$1:$H$250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34" i="4" l="1"/>
  <c r="F34" i="4"/>
  <c r="B21" i="1" l="1"/>
  <c r="C120" i="3"/>
  <c r="B116" i="3"/>
  <c r="D100" i="3" s="1"/>
  <c r="B98" i="3"/>
  <c r="F95" i="3"/>
  <c r="D95" i="3"/>
  <c r="I92" i="3" s="1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39" i="3"/>
  <c r="D49" i="3"/>
  <c r="F44" i="3"/>
  <c r="F45" i="3" s="1"/>
  <c r="G40" i="3" s="1"/>
  <c r="F98" i="3"/>
  <c r="F99" i="3" s="1"/>
  <c r="E38" i="3"/>
  <c r="D46" i="3"/>
  <c r="E39" i="3"/>
  <c r="D102" i="3"/>
  <c r="G93" i="3"/>
  <c r="G91" i="3"/>
  <c r="C49" i="2"/>
  <c r="D24" i="2"/>
  <c r="D28" i="2"/>
  <c r="D32" i="2"/>
  <c r="D36" i="2"/>
  <c r="D40" i="2"/>
  <c r="D49" i="2"/>
  <c r="E41" i="3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E40" i="3"/>
  <c r="G38" i="3" l="1"/>
  <c r="G41" i="3"/>
  <c r="G39" i="3"/>
  <c r="F46" i="3"/>
  <c r="G92" i="3"/>
  <c r="G94" i="3"/>
  <c r="E94" i="3"/>
  <c r="E93" i="3"/>
  <c r="E42" i="3"/>
  <c r="E91" i="3"/>
  <c r="E92" i="3"/>
  <c r="G95" i="3" l="1"/>
  <c r="G42" i="3"/>
  <c r="D50" i="3"/>
  <c r="G66" i="3" s="1"/>
  <c r="H66" i="3" s="1"/>
  <c r="D52" i="3"/>
  <c r="E95" i="3"/>
  <c r="D105" i="3"/>
  <c r="D103" i="3"/>
  <c r="G62" i="3" l="1"/>
  <c r="H62" i="3" s="1"/>
  <c r="G71" i="3"/>
  <c r="H71" i="3" s="1"/>
  <c r="G61" i="3"/>
  <c r="H61" i="3" s="1"/>
  <c r="G70" i="3"/>
  <c r="H70" i="3" s="1"/>
  <c r="G64" i="3"/>
  <c r="H64" i="3" s="1"/>
  <c r="G68" i="3"/>
  <c r="H68" i="3" s="1"/>
  <c r="G65" i="3"/>
  <c r="H65" i="3" s="1"/>
  <c r="G60" i="3"/>
  <c r="H60" i="3" s="1"/>
  <c r="G69" i="3"/>
  <c r="H69" i="3" s="1"/>
  <c r="G67" i="3"/>
  <c r="H67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E115" i="3"/>
  <c r="E116" i="3" s="1"/>
  <c r="E117" i="3"/>
  <c r="F108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<sst xmlns="http://schemas.openxmlformats.org/spreadsheetml/2006/main" count="230" uniqueCount="128">
  <si>
    <t>HPLC System Suitability Report</t>
  </si>
  <si>
    <t>Analysis Data</t>
  </si>
  <si>
    <t>Assay</t>
  </si>
  <si>
    <t>Sample(s)</t>
  </si>
  <si>
    <t>Reference Substance:</t>
  </si>
  <si>
    <t>ARTESUNATE SUPPOSITORIES</t>
  </si>
  <si>
    <t>% age Purity:</t>
  </si>
  <si>
    <t>NDQD2016061236</t>
  </si>
  <si>
    <t>Weight (mg):</t>
  </si>
  <si>
    <t>Each Suppository contains Artesunate 100 mg</t>
  </si>
  <si>
    <t>Standard Conc (mg/mL):</t>
  </si>
  <si>
    <t>2016-07-05 08:12:23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</si>
  <si>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</si>
  <si>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</si>
  <si>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</si>
  <si>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</si>
  <si>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</si>
  <si>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</si>
  <si>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</si>
  <si>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</si>
  <si>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</si>
  <si>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</si>
  <si>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</si>
  <si>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</si>
  <si>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</si>
  <si>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</si>
  <si>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</si>
  <si>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</si>
  <si>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</si>
  <si>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</si>
  <si>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</si>
  <si>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</si>
  <si>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</si>
  <si>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</si>
  <si>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</si>
  <si>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</si>
  <si>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</si>
  <si>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</si>
  <si>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</si>
  <si>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</si>
  <si>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</si>
  <si>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</si>
  <si>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</si>
  <si>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</si>
  <si>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</si>
  <si>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</si>
  <si>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</si>
  <si>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</si>
  <si>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</si>
  <si>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</si>
  <si>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</si>
  <si>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</si>
  <si>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</si>
  <si>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</si>
  <si>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</si>
  <si>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</si>
  <si>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</si>
  <si>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</si>
  <si>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</si>
  <si>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</si>
  <si>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</si>
  <si>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</si>
  <si>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</si>
  <si>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</si>
  <si>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</si>
  <si>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</si>
  <si>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</si>
  <si>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</si>
  <si>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</si>
  <si>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</si>
  <si>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</si>
  <si>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</si>
  <si>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</si>
  <si>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</si>
  <si>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</si>
  <si>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</si>
  <si>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</si>
  <si>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</si>
  <si>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</si>
  <si>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</si>
  <si>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</si>
  <si>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</si>
  <si>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</si>
  <si>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</si>
  <si>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</si>
  <si>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</si>
  <si>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</si>
  <si>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</si>
  <si>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</si>
  <si>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</si>
  <si>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</si>
  <si>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</si>
  <si>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</si>
  <si>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</si>
  <si>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</si>
  <si>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</si>
  <si>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</si>
  <si>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</si>
  <si>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</si>
  <si>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</si>
  <si>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</si>
  <si>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</si>
  <si>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</si>
  <si>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</si>
  <si>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</si>
  <si>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</si>
  <si>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</si>
  <si>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</si>
  <si>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</si>
  <si>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</si>
  <si>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</si>
  <si>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</si>
  <si>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</si>
  <si>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</si>
  <si>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</si>
  <si>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</si>
  <si>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</si>
  <si>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</si>
  <si>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</si>
  <si>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</si>
  <si>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</si>
  <si>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</si>
  <si>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</si>
  <si>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</si>
  <si>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Artesunate</t>
  </si>
  <si>
    <t>A15-1</t>
  </si>
  <si>
    <t>Each suppository contains Artesunate 100 mg</t>
  </si>
  <si>
    <t>Artesunate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</si>
</sst>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2" workbookViewId="0">
      <selection activeCell="B30" sqref="B3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50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0.20800000000000002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2463226</v>
      </c>
      <c r="C24" s="18">
        <v>7557.5</v>
      </c>
      <c r="D24" s="19">
        <v>0.9</v>
      </c>
      <c r="E24" s="20">
        <v>17.3</v>
      </c>
    </row>
    <row r="25" spans="1:6" ht="16.5" customHeight="1" x14ac:dyDescent="0.3">
      <c r="A25" s="17">
        <v>2</v>
      </c>
      <c r="B25" s="18">
        <v>2456203</v>
      </c>
      <c r="C25" s="18">
        <v>7516.6</v>
      </c>
      <c r="D25" s="19">
        <v>0.9</v>
      </c>
      <c r="E25" s="19">
        <v>17.3</v>
      </c>
    </row>
    <row r="26" spans="1:6" ht="16.5" customHeight="1" x14ac:dyDescent="0.3">
      <c r="A26" s="17">
        <v>3</v>
      </c>
      <c r="B26" s="18">
        <v>2455246</v>
      </c>
      <c r="C26" s="18">
        <v>7485.2</v>
      </c>
      <c r="D26" s="19">
        <v>0.9</v>
      </c>
      <c r="E26" s="19">
        <v>17.3</v>
      </c>
    </row>
    <row r="27" spans="1:6" ht="16.5" customHeight="1" x14ac:dyDescent="0.3">
      <c r="A27" s="17">
        <v>4</v>
      </c>
      <c r="B27" s="18">
        <v>2454209</v>
      </c>
      <c r="C27" s="18">
        <v>7442.5</v>
      </c>
      <c r="D27" s="19">
        <v>0.9</v>
      </c>
      <c r="E27" s="19">
        <v>17.3</v>
      </c>
    </row>
    <row r="28" spans="1:6" ht="16.5" customHeight="1" x14ac:dyDescent="0.3">
      <c r="A28" s="17">
        <v>5</v>
      </c>
      <c r="B28" s="18">
        <v>2458367</v>
      </c>
      <c r="C28" s="18">
        <v>7447.4</v>
      </c>
      <c r="D28" s="19">
        <v>0.9</v>
      </c>
      <c r="E28" s="19">
        <v>17.3</v>
      </c>
    </row>
    <row r="29" spans="1:6" ht="16.5" customHeight="1" x14ac:dyDescent="0.3">
      <c r="A29" s="17">
        <v>6</v>
      </c>
      <c r="B29" s="21">
        <v>2457248</v>
      </c>
      <c r="C29" s="21">
        <v>7447.9</v>
      </c>
      <c r="D29" s="22">
        <v>0.9</v>
      </c>
      <c r="E29" s="22">
        <v>17.3</v>
      </c>
    </row>
    <row r="30" spans="1:6" ht="16.5" customHeight="1" x14ac:dyDescent="0.3">
      <c r="A30" s="23" t="s">
        <v>17</v>
      </c>
      <c r="B30" s="24">
        <f>AVERAGE(B24:B29)</f>
        <v>2457416.5</v>
      </c>
      <c r="C30" s="25">
        <f>AVERAGE(C24:C29)</f>
        <v>7482.8499999999995</v>
      </c>
      <c r="D30" s="26">
        <f>AVERAGE(D24:D29)</f>
        <v>0.9</v>
      </c>
      <c r="E30" s="26">
        <f>AVERAGE(E24:E29)</f>
        <v>17.3</v>
      </c>
    </row>
    <row r="31" spans="1:6" ht="16.5" customHeight="1" x14ac:dyDescent="0.3">
      <c r="A31" s="27" t="s">
        <v>18</v>
      </c>
      <c r="B31" s="28">
        <f>(STDEV(B24:B29)/B30)</f>
        <v>1.3015934505296617E-3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2" t="s">
        <v>25</v>
      </c>
      <c r="C59" s="28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9" workbookViewId="0">
      <selection activeCell="C42" sqref="C4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6" t="s">
        <v>30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31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32</v>
      </c>
      <c r="B14" s="290"/>
      <c r="C14" s="60" t="s">
        <v>5</v>
      </c>
    </row>
    <row r="15" spans="1:7" ht="16.5" customHeight="1" x14ac:dyDescent="0.3">
      <c r="A15" s="290" t="s">
        <v>33</v>
      </c>
      <c r="B15" s="290"/>
      <c r="C15" s="60" t="s">
        <v>7</v>
      </c>
    </row>
    <row r="16" spans="1:7" ht="16.5" customHeight="1" x14ac:dyDescent="0.3">
      <c r="A16" s="290" t="s">
        <v>34</v>
      </c>
      <c r="B16" s="290"/>
      <c r="C16" s="60" t="s">
        <v>9</v>
      </c>
    </row>
    <row r="17" spans="1:5" ht="16.5" customHeight="1" x14ac:dyDescent="0.3">
      <c r="A17" s="290" t="s">
        <v>35</v>
      </c>
      <c r="B17" s="290"/>
      <c r="C17" s="60"/>
    </row>
    <row r="18" spans="1:5" ht="16.5" customHeight="1" x14ac:dyDescent="0.3">
      <c r="A18" s="290" t="s">
        <v>36</v>
      </c>
      <c r="B18" s="290"/>
      <c r="C18" s="97" t="s">
        <v>11</v>
      </c>
    </row>
    <row r="19" spans="1:5" ht="16.5" customHeight="1" x14ac:dyDescent="0.3">
      <c r="A19" s="290" t="s">
        <v>37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38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1526.38</v>
      </c>
      <c r="D24" s="87">
        <f t="shared" ref="D24:D43" si="0">(C24-$C$46)/$C$46</f>
        <v>-8.1698401445657303E-3</v>
      </c>
      <c r="E24" s="53"/>
    </row>
    <row r="25" spans="1:5" ht="15.75" customHeight="1" x14ac:dyDescent="0.3">
      <c r="C25" s="95">
        <v>1529.84</v>
      </c>
      <c r="D25" s="88">
        <f t="shared" si="0"/>
        <v>-5.9215583581825153E-3</v>
      </c>
      <c r="E25" s="53"/>
    </row>
    <row r="26" spans="1:5" ht="15.75" customHeight="1" x14ac:dyDescent="0.3">
      <c r="C26" s="95">
        <v>1532.15</v>
      </c>
      <c r="D26" s="88">
        <f t="shared" si="0"/>
        <v>-4.4205378591808094E-3</v>
      </c>
      <c r="E26" s="53"/>
    </row>
    <row r="27" spans="1:5" ht="15.75" customHeight="1" x14ac:dyDescent="0.3">
      <c r="C27" s="95">
        <v>1544.02</v>
      </c>
      <c r="D27" s="88">
        <f t="shared" si="0"/>
        <v>3.2924982114463583E-3</v>
      </c>
      <c r="E27" s="53"/>
    </row>
    <row r="28" spans="1:5" ht="15.75" customHeight="1" x14ac:dyDescent="0.3">
      <c r="C28" s="95">
        <v>1541.57</v>
      </c>
      <c r="D28" s="88">
        <f t="shared" si="0"/>
        <v>1.7005067731113049E-3</v>
      </c>
      <c r="E28" s="53"/>
    </row>
    <row r="29" spans="1:5" ht="15.75" customHeight="1" x14ac:dyDescent="0.3">
      <c r="C29" s="95">
        <v>1531.7</v>
      </c>
      <c r="D29" s="88">
        <f t="shared" si="0"/>
        <v>-4.7129444498954353E-3</v>
      </c>
      <c r="E29" s="53"/>
    </row>
    <row r="30" spans="1:5" ht="15.75" customHeight="1" x14ac:dyDescent="0.3">
      <c r="C30" s="95">
        <v>1535.47</v>
      </c>
      <c r="D30" s="88">
        <f t="shared" si="0"/>
        <v>-2.2632270121309404E-3</v>
      </c>
      <c r="E30" s="53"/>
    </row>
    <row r="31" spans="1:5" ht="15.75" customHeight="1" x14ac:dyDescent="0.3">
      <c r="C31" s="95">
        <v>1541.92</v>
      </c>
      <c r="D31" s="88">
        <f t="shared" si="0"/>
        <v>1.9279341214449683E-3</v>
      </c>
      <c r="E31" s="53"/>
    </row>
    <row r="32" spans="1:5" ht="15.75" customHeight="1" x14ac:dyDescent="0.3">
      <c r="C32" s="95">
        <v>1544.14</v>
      </c>
      <c r="D32" s="88">
        <f t="shared" si="0"/>
        <v>3.3704733023036605E-3</v>
      </c>
      <c r="E32" s="53"/>
    </row>
    <row r="33" spans="1:7" ht="15.75" customHeight="1" x14ac:dyDescent="0.3">
      <c r="C33" s="95">
        <v>1545.01</v>
      </c>
      <c r="D33" s="88">
        <f t="shared" si="0"/>
        <v>3.9357927110184755E-3</v>
      </c>
      <c r="E33" s="53"/>
    </row>
    <row r="34" spans="1:7" ht="15.75" customHeight="1" x14ac:dyDescent="0.3">
      <c r="C34" s="95">
        <v>1546.62</v>
      </c>
      <c r="D34" s="88">
        <f t="shared" si="0"/>
        <v>4.9819585133528549E-3</v>
      </c>
      <c r="E34" s="53"/>
    </row>
    <row r="35" spans="1:7" ht="15.75" customHeight="1" x14ac:dyDescent="0.3">
      <c r="C35" s="95">
        <v>1530.66</v>
      </c>
      <c r="D35" s="88">
        <f t="shared" si="0"/>
        <v>-5.3887285706580336E-3</v>
      </c>
      <c r="E35" s="53"/>
    </row>
    <row r="36" spans="1:7" ht="15.75" customHeight="1" x14ac:dyDescent="0.3">
      <c r="C36" s="95">
        <v>1533.53</v>
      </c>
      <c r="D36" s="88">
        <f t="shared" si="0"/>
        <v>-3.5238243143227909E-3</v>
      </c>
      <c r="E36" s="53"/>
    </row>
    <row r="37" spans="1:7" ht="15.75" customHeight="1" x14ac:dyDescent="0.3">
      <c r="C37" s="95">
        <v>1534.91</v>
      </c>
      <c r="D37" s="88">
        <f t="shared" si="0"/>
        <v>-2.6271107694646246E-3</v>
      </c>
      <c r="E37" s="53"/>
    </row>
    <row r="38" spans="1:7" ht="15.75" customHeight="1" x14ac:dyDescent="0.3">
      <c r="C38" s="95">
        <v>1548.27</v>
      </c>
      <c r="D38" s="88">
        <f t="shared" si="0"/>
        <v>6.0541160126397668E-3</v>
      </c>
      <c r="E38" s="53"/>
    </row>
    <row r="39" spans="1:7" ht="15.75" customHeight="1" x14ac:dyDescent="0.3">
      <c r="C39" s="95">
        <v>1540.65</v>
      </c>
      <c r="D39" s="88">
        <f t="shared" si="0"/>
        <v>1.1026977432060086E-3</v>
      </c>
      <c r="E39" s="53"/>
    </row>
    <row r="40" spans="1:7" ht="15.75" customHeight="1" x14ac:dyDescent="0.3">
      <c r="C40" s="95">
        <v>1535.46</v>
      </c>
      <c r="D40" s="88">
        <f t="shared" si="0"/>
        <v>-2.2697249363690369E-3</v>
      </c>
      <c r="E40" s="53"/>
    </row>
    <row r="41" spans="1:7" ht="15.75" customHeight="1" x14ac:dyDescent="0.3">
      <c r="C41" s="95">
        <v>1549.77</v>
      </c>
      <c r="D41" s="88">
        <f t="shared" si="0"/>
        <v>7.028804648355088E-3</v>
      </c>
      <c r="E41" s="53"/>
    </row>
    <row r="42" spans="1:7" ht="15.75" customHeight="1" x14ac:dyDescent="0.3">
      <c r="C42" s="95">
        <v>1550.21</v>
      </c>
      <c r="D42" s="88">
        <f t="shared" si="0"/>
        <v>7.314713314831617E-3</v>
      </c>
      <c r="E42" s="53"/>
    </row>
    <row r="43" spans="1:7" ht="16.5" customHeight="1" x14ac:dyDescent="0.3">
      <c r="C43" s="96">
        <v>1536.78</v>
      </c>
      <c r="D43" s="89">
        <f t="shared" si="0"/>
        <v>-1.4119989369395958E-3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30779.059999999998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1538.953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283">
        <f>C46</f>
        <v>1538.953</v>
      </c>
      <c r="C49" s="93">
        <f>-IF(C46&lt;=80,10%,IF(C46&lt;250,7.5%,5%))</f>
        <v>-0.05</v>
      </c>
      <c r="D49" s="81">
        <f>IF(C46&lt;=80,C46*0.9,IF(C46&lt;250,C46*0.925,C46*0.95))</f>
        <v>1462.0053499999999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1615.90065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6" zoomScale="70" zoomScaleNormal="60" zoomScaleSheetLayoutView="70" zoomScalePageLayoutView="41" workbookViewId="0">
      <selection activeCell="E54" sqref="E5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1" t="s">
        <v>44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3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3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3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3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3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3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3">
      <c r="A8" s="292" t="s">
        <v>45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3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3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3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3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3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3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5">
      <c r="A15" s="98"/>
    </row>
    <row r="16" spans="1:9" ht="19.5" customHeight="1" x14ac:dyDescent="0.35">
      <c r="A16" s="325" t="s">
        <v>30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3">
      <c r="A17" s="328" t="s">
        <v>46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5">
      <c r="A18" s="100" t="s">
        <v>32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5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34</v>
      </c>
      <c r="B20" s="322" t="s">
        <v>127</v>
      </c>
      <c r="C20" s="322"/>
      <c r="D20" s="102"/>
      <c r="E20" s="102"/>
      <c r="F20" s="102"/>
      <c r="G20" s="102"/>
      <c r="H20" s="102"/>
    </row>
    <row r="21" spans="1:14" ht="26.25" customHeight="1" x14ac:dyDescent="0.5">
      <c r="A21" s="100" t="s">
        <v>35</v>
      </c>
      <c r="B21" s="329" t="s">
        <v>126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5">
      <c r="A22" s="100" t="s">
        <v>36</v>
      </c>
      <c r="B22" s="105">
        <v>42576.341932870368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37</v>
      </c>
      <c r="B23" s="105">
        <v>42577.341944444444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4" t="s">
        <v>124</v>
      </c>
      <c r="C26" s="324"/>
    </row>
    <row r="27" spans="1:14" ht="26.25" customHeight="1" x14ac:dyDescent="0.5">
      <c r="A27" s="109" t="s">
        <v>47</v>
      </c>
      <c r="B27" s="322" t="s">
        <v>125</v>
      </c>
      <c r="C27" s="322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48</v>
      </c>
      <c r="B29" s="111">
        <v>0</v>
      </c>
      <c r="C29" s="299" t="s">
        <v>49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1</v>
      </c>
      <c r="C31" s="302" t="s">
        <v>52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v>1</v>
      </c>
      <c r="C32" s="302" t="s">
        <v>54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57</v>
      </c>
      <c r="B36" s="123">
        <v>50</v>
      </c>
      <c r="C36" s="99"/>
      <c r="D36" s="305" t="s">
        <v>58</v>
      </c>
      <c r="E36" s="323"/>
      <c r="F36" s="305" t="s">
        <v>59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65</v>
      </c>
      <c r="B38" s="125">
        <v>1</v>
      </c>
      <c r="C38" s="131">
        <v>1</v>
      </c>
      <c r="D38" s="132">
        <v>2513423</v>
      </c>
      <c r="E38" s="133">
        <f>IF(ISBLANK(D38),"-",$D$48/$D$45*D38)</f>
        <v>2424024.9594938662</v>
      </c>
      <c r="F38" s="132">
        <v>2533258</v>
      </c>
      <c r="G38" s="134">
        <f>IF(ISBLANK(F38),"-",$D$48/$F$45*F38)</f>
        <v>2365810.6535621765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66</v>
      </c>
      <c r="B39" s="125">
        <v>1</v>
      </c>
      <c r="C39" s="136">
        <v>2</v>
      </c>
      <c r="D39" s="137">
        <v>2509251</v>
      </c>
      <c r="E39" s="138">
        <f>IF(ISBLANK(D39),"-",$D$48/$D$45*D39)</f>
        <v>2420001.3502044594</v>
      </c>
      <c r="F39" s="137">
        <v>2528247</v>
      </c>
      <c r="G39" s="139">
        <f>IF(ISBLANK(F39),"-",$D$48/$F$45*F39)</f>
        <v>2361130.8786695283</v>
      </c>
      <c r="I39" s="307">
        <f>ABS((F43/D43*D42)-F42)/D42</f>
        <v>2.7228098765079655E-2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67</v>
      </c>
      <c r="B40" s="125">
        <v>1</v>
      </c>
      <c r="C40" s="136">
        <v>3</v>
      </c>
      <c r="D40" s="137">
        <v>2512543</v>
      </c>
      <c r="E40" s="138">
        <f>IF(ISBLANK(D40),"-",$D$48/$D$45*D40)</f>
        <v>2423176.2595478743</v>
      </c>
      <c r="F40" s="137">
        <v>2514886</v>
      </c>
      <c r="G40" s="139">
        <f>IF(ISBLANK(F40),"-",$D$48/$F$45*F40)</f>
        <v>2348653.0354564628</v>
      </c>
      <c r="I40" s="307"/>
      <c r="L40" s="117"/>
      <c r="M40" s="117"/>
      <c r="N40" s="140"/>
    </row>
    <row r="41" spans="1:14" ht="27" customHeight="1" x14ac:dyDescent="0.45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69</v>
      </c>
      <c r="B42" s="125">
        <v>1</v>
      </c>
      <c r="C42" s="146" t="s">
        <v>70</v>
      </c>
      <c r="D42" s="147">
        <f>AVERAGE(D38:D41)</f>
        <v>2511739</v>
      </c>
      <c r="E42" s="148">
        <f>AVERAGE(E38:E41)</f>
        <v>2422400.8564153998</v>
      </c>
      <c r="F42" s="147">
        <f>AVERAGE(F38:F41)</f>
        <v>2525463.6666666665</v>
      </c>
      <c r="G42" s="149">
        <f>AVERAGE(G38:G41)</f>
        <v>2358531.5225627227</v>
      </c>
      <c r="H42" s="150"/>
    </row>
    <row r="43" spans="1:14" ht="26.25" customHeight="1" x14ac:dyDescent="0.45">
      <c r="A43" s="124" t="s">
        <v>71</v>
      </c>
      <c r="B43" s="125">
        <v>1</v>
      </c>
      <c r="C43" s="151" t="s">
        <v>72</v>
      </c>
      <c r="D43" s="330">
        <v>10.4</v>
      </c>
      <c r="E43" s="140"/>
      <c r="F43" s="152">
        <v>10.74</v>
      </c>
      <c r="H43" s="150"/>
    </row>
    <row r="44" spans="1:14" ht="26.25" customHeight="1" x14ac:dyDescent="0.45">
      <c r="A44" s="124" t="s">
        <v>73</v>
      </c>
      <c r="B44" s="125">
        <v>1</v>
      </c>
      <c r="C44" s="153" t="s">
        <v>74</v>
      </c>
      <c r="D44" s="154">
        <f>D43*$B$34</f>
        <v>10.4</v>
      </c>
      <c r="E44" s="155"/>
      <c r="F44" s="154">
        <f>F43*$B$34</f>
        <v>10.74</v>
      </c>
      <c r="H44" s="150"/>
    </row>
    <row r="45" spans="1:14" ht="19.5" customHeight="1" x14ac:dyDescent="0.35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10.3688</v>
      </c>
      <c r="E45" s="158"/>
      <c r="F45" s="157">
        <f>F44*$B$30/100</f>
        <v>10.70778</v>
      </c>
      <c r="H45" s="150"/>
    </row>
    <row r="46" spans="1:14" ht="19.5" customHeight="1" x14ac:dyDescent="0.35">
      <c r="A46" s="293" t="s">
        <v>77</v>
      </c>
      <c r="B46" s="294"/>
      <c r="C46" s="153" t="s">
        <v>78</v>
      </c>
      <c r="D46" s="159">
        <f>D45/$B$45</f>
        <v>0.207376</v>
      </c>
      <c r="E46" s="160"/>
      <c r="F46" s="161">
        <f>F45/$B$45</f>
        <v>0.2141556</v>
      </c>
      <c r="H46" s="150"/>
    </row>
    <row r="47" spans="1:14" ht="27" customHeight="1" x14ac:dyDescent="0.45">
      <c r="A47" s="295"/>
      <c r="B47" s="296"/>
      <c r="C47" s="162" t="s">
        <v>79</v>
      </c>
      <c r="D47" s="163">
        <v>0.2</v>
      </c>
      <c r="E47" s="164"/>
      <c r="F47" s="160"/>
      <c r="H47" s="150"/>
    </row>
    <row r="48" spans="1:14" ht="18" x14ac:dyDescent="0.35">
      <c r="C48" s="165" t="s">
        <v>80</v>
      </c>
      <c r="D48" s="157">
        <f>D47*$B$45</f>
        <v>10</v>
      </c>
      <c r="F48" s="166"/>
      <c r="H48" s="150"/>
    </row>
    <row r="49" spans="1:12" ht="19.5" customHeight="1" x14ac:dyDescent="0.35">
      <c r="C49" s="167" t="s">
        <v>81</v>
      </c>
      <c r="D49" s="168">
        <f>D48/B34</f>
        <v>10</v>
      </c>
      <c r="F49" s="166"/>
      <c r="H49" s="150"/>
    </row>
    <row r="50" spans="1:12" ht="18" x14ac:dyDescent="0.35">
      <c r="C50" s="122" t="s">
        <v>82</v>
      </c>
      <c r="D50" s="169">
        <f>AVERAGE(E38:E41,G38:G41)</f>
        <v>2390466.189489061</v>
      </c>
      <c r="F50" s="170"/>
      <c r="H50" s="150"/>
    </row>
    <row r="51" spans="1:12" ht="18" x14ac:dyDescent="0.35">
      <c r="C51" s="124" t="s">
        <v>83</v>
      </c>
      <c r="D51" s="171">
        <f>STDEV(E38:E41,G38:G41)/D50</f>
        <v>1.4831806741663818E-2</v>
      </c>
      <c r="F51" s="170"/>
      <c r="H51" s="150"/>
    </row>
    <row r="52" spans="1:12" ht="19.5" customHeight="1" x14ac:dyDescent="0.35">
      <c r="C52" s="172" t="s">
        <v>19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84</v>
      </c>
    </row>
    <row r="55" spans="1:12" ht="18" x14ac:dyDescent="0.35">
      <c r="A55" s="99" t="s">
        <v>85</v>
      </c>
      <c r="B55" s="176" t="str">
        <f>B21</f>
        <v>Each suppository contains Artesunate 100 mg</v>
      </c>
    </row>
    <row r="56" spans="1:12" ht="26.25" customHeight="1" x14ac:dyDescent="0.45">
      <c r="A56" s="177" t="s">
        <v>86</v>
      </c>
      <c r="B56" s="178">
        <v>100</v>
      </c>
      <c r="C56" s="99" t="str">
        <f>B20</f>
        <v>Artesunate 100 mg</v>
      </c>
      <c r="H56" s="179"/>
    </row>
    <row r="57" spans="1:12" ht="18" x14ac:dyDescent="0.35">
      <c r="A57" s="176" t="s">
        <v>87</v>
      </c>
      <c r="B57" s="268">
        <f>Uniformity!C46</f>
        <v>1538.953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5</v>
      </c>
      <c r="C60" s="310" t="s">
        <v>93</v>
      </c>
      <c r="D60" s="313">
        <v>1513.2</v>
      </c>
      <c r="E60" s="182">
        <v>1</v>
      </c>
      <c r="F60" s="183"/>
      <c r="G60" s="269" t="str">
        <f>IF(ISBLANK(F60),"-",(F60/$D$50*$D$47*$B$68)*($B$57/$D$60))</f>
        <v>-</v>
      </c>
      <c r="H60" s="184" t="str">
        <f t="shared" ref="H60:H71" si="0">IF(ISBLANK(F60),"-",G60/$B$56)</f>
        <v>-</v>
      </c>
      <c r="L60" s="112"/>
    </row>
    <row r="61" spans="1:12" s="14" customFormat="1" ht="26.25" customHeight="1" x14ac:dyDescent="0.45">
      <c r="A61" s="124" t="s">
        <v>94</v>
      </c>
      <c r="B61" s="125">
        <v>25</v>
      </c>
      <c r="C61" s="311"/>
      <c r="D61" s="314"/>
      <c r="E61" s="185">
        <v>2</v>
      </c>
      <c r="F61" s="137"/>
      <c r="G61" s="270" t="str">
        <f>IF(ISBLANK(F61),"-",(F61/$D$50*$D$47*$B$68)*($B$57/$D$60))</f>
        <v>-</v>
      </c>
      <c r="H61" s="186" t="str">
        <f t="shared" si="0"/>
        <v>-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311"/>
      <c r="D62" s="314"/>
      <c r="E62" s="185">
        <v>3</v>
      </c>
      <c r="F62" s="187"/>
      <c r="G62" s="270" t="str">
        <f>IF(ISBLANK(F62),"-",(F62/$D$50*$D$47*$B$68)*($B$57/$D$60))</f>
        <v>-</v>
      </c>
      <c r="H62" s="186" t="str">
        <f t="shared" si="0"/>
        <v>-</v>
      </c>
      <c r="L62" s="112"/>
    </row>
    <row r="63" spans="1:12" ht="27" customHeight="1" x14ac:dyDescent="0.45">
      <c r="A63" s="124" t="s">
        <v>96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310" t="s">
        <v>98</v>
      </c>
      <c r="D64" s="313">
        <v>1536.27</v>
      </c>
      <c r="E64" s="182">
        <v>1</v>
      </c>
      <c r="F64" s="183">
        <v>2276819</v>
      </c>
      <c r="G64" s="271">
        <f>IF(ISBLANK(F64),"-",(F64/$D$50*$D$47*$B$68)*($B$57/$D$64))</f>
        <v>95.412155704002217</v>
      </c>
      <c r="H64" s="190">
        <f t="shared" si="0"/>
        <v>0.95412155704002222</v>
      </c>
    </row>
    <row r="65" spans="1:8" ht="26.25" customHeight="1" x14ac:dyDescent="0.45">
      <c r="A65" s="124" t="s">
        <v>99</v>
      </c>
      <c r="B65" s="125">
        <v>1</v>
      </c>
      <c r="C65" s="311"/>
      <c r="D65" s="314"/>
      <c r="E65" s="185">
        <v>2</v>
      </c>
      <c r="F65" s="137">
        <v>2275352</v>
      </c>
      <c r="G65" s="272">
        <f>IF(ISBLANK(F65),"-",(F65/$D$50*$D$47*$B$68)*($B$57/$D$64))</f>
        <v>95.350679744596675</v>
      </c>
      <c r="H65" s="191">
        <f t="shared" si="0"/>
        <v>0.95350679744596678</v>
      </c>
    </row>
    <row r="66" spans="1:8" ht="26.25" customHeight="1" x14ac:dyDescent="0.45">
      <c r="A66" s="124" t="s">
        <v>100</v>
      </c>
      <c r="B66" s="125">
        <v>1</v>
      </c>
      <c r="C66" s="311"/>
      <c r="D66" s="314"/>
      <c r="E66" s="185">
        <v>3</v>
      </c>
      <c r="F66" s="137">
        <v>2279553</v>
      </c>
      <c r="G66" s="272">
        <f>IF(ISBLANK(F66),"-",(F66/$D$50*$D$47*$B$68)*($B$57/$D$64))</f>
        <v>95.52672644225359</v>
      </c>
      <c r="H66" s="191">
        <f t="shared" si="0"/>
        <v>0.95526726442253596</v>
      </c>
    </row>
    <row r="67" spans="1:8" ht="27" customHeight="1" x14ac:dyDescent="0.45">
      <c r="A67" s="124" t="s">
        <v>101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102</v>
      </c>
      <c r="B68" s="193">
        <f>(B67/B66)*(B65/B64)*(B63/B62)*(B61/B60)*B59</f>
        <v>500</v>
      </c>
      <c r="C68" s="310" t="s">
        <v>103</v>
      </c>
      <c r="D68" s="313">
        <v>1518.39</v>
      </c>
      <c r="E68" s="182">
        <v>1</v>
      </c>
      <c r="F68" s="183">
        <v>2249112</v>
      </c>
      <c r="G68" s="271">
        <f>IF(ISBLANK(F68),"-",(F68/$D$50*$D$47*$B$68)*($B$57/$D$68))</f>
        <v>95.360934641375962</v>
      </c>
      <c r="H68" s="186">
        <f t="shared" si="0"/>
        <v>0.95360934641375961</v>
      </c>
    </row>
    <row r="69" spans="1:8" ht="27" customHeight="1" x14ac:dyDescent="0.5">
      <c r="A69" s="172" t="s">
        <v>104</v>
      </c>
      <c r="B69" s="194">
        <f>(D47*B68)/B56*B57</f>
        <v>1538.953</v>
      </c>
      <c r="C69" s="311"/>
      <c r="D69" s="314"/>
      <c r="E69" s="185">
        <v>2</v>
      </c>
      <c r="F69" s="137">
        <v>2251762</v>
      </c>
      <c r="G69" s="272">
        <f>IF(ISBLANK(F69),"-",(F69/$D$50*$D$47*$B$68)*($B$57/$D$68))</f>
        <v>95.473292975153768</v>
      </c>
      <c r="H69" s="186">
        <f t="shared" si="0"/>
        <v>0.95473292975153767</v>
      </c>
    </row>
    <row r="70" spans="1:8" ht="26.25" customHeight="1" x14ac:dyDescent="0.45">
      <c r="A70" s="316" t="s">
        <v>77</v>
      </c>
      <c r="B70" s="317"/>
      <c r="C70" s="311"/>
      <c r="D70" s="314"/>
      <c r="E70" s="185">
        <v>3</v>
      </c>
      <c r="F70" s="137">
        <v>2249027</v>
      </c>
      <c r="G70" s="272">
        <f>IF(ISBLANK(F70),"-",(F70/$D$50*$D$47*$B$68)*($B$57/$D$68))</f>
        <v>95.357330694820831</v>
      </c>
      <c r="H70" s="186">
        <f t="shared" si="0"/>
        <v>0.9535733069482083</v>
      </c>
    </row>
    <row r="71" spans="1:8" ht="27" customHeight="1" x14ac:dyDescent="0.45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70</v>
      </c>
      <c r="G72" s="278">
        <f>AVERAGE(G60:G71)</f>
        <v>95.413520033700493</v>
      </c>
      <c r="H72" s="199">
        <f>AVERAGE(H60:H71)</f>
        <v>0.95413520033700516</v>
      </c>
    </row>
    <row r="73" spans="1:8" ht="26.25" customHeight="1" x14ac:dyDescent="0.45">
      <c r="C73" s="196"/>
      <c r="D73" s="196"/>
      <c r="E73" s="196"/>
      <c r="F73" s="200" t="s">
        <v>83</v>
      </c>
      <c r="G73" s="274">
        <f>STDEV(G60:G71)/G72</f>
        <v>7.5956806411465029E-4</v>
      </c>
      <c r="H73" s="274">
        <f>STDEV(H60:H71)/H72</f>
        <v>7.595680641146659E-4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19</v>
      </c>
      <c r="G74" s="203">
        <f>COUNT(G60:G71)</f>
        <v>6</v>
      </c>
      <c r="H74" s="203">
        <f>COUNT(H60:H71)</f>
        <v>6</v>
      </c>
    </row>
    <row r="76" spans="1:8" ht="26.25" customHeight="1" x14ac:dyDescent="0.45">
      <c r="A76" s="108" t="s">
        <v>105</v>
      </c>
      <c r="B76" s="204" t="s">
        <v>106</v>
      </c>
      <c r="C76" s="297" t="str">
        <f>B20</f>
        <v>Artesunate 100 mg</v>
      </c>
      <c r="D76" s="297"/>
      <c r="E76" s="205" t="s">
        <v>107</v>
      </c>
      <c r="F76" s="205"/>
      <c r="G76" s="206">
        <f>H72</f>
        <v>0.95413520033700516</v>
      </c>
      <c r="H76" s="207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20"/>
      <c r="C79" s="320"/>
    </row>
    <row r="80" spans="1:8" ht="26.25" customHeight="1" x14ac:dyDescent="0.45">
      <c r="A80" s="109" t="s">
        <v>47</v>
      </c>
      <c r="B80" s="320"/>
      <c r="C80" s="320"/>
    </row>
    <row r="81" spans="1:12" ht="27" customHeight="1" x14ac:dyDescent="0.45">
      <c r="A81" s="109" t="s">
        <v>6</v>
      </c>
      <c r="B81" s="208"/>
    </row>
    <row r="82" spans="1:12" s="14" customFormat="1" ht="27" customHeight="1" x14ac:dyDescent="0.5">
      <c r="A82" s="109" t="s">
        <v>48</v>
      </c>
      <c r="B82" s="111">
        <v>0</v>
      </c>
      <c r="C82" s="299" t="s">
        <v>49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/>
      <c r="C84" s="302" t="s">
        <v>110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/>
      <c r="C85" s="302" t="s">
        <v>111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55</v>
      </c>
      <c r="B87" s="121" t="e">
        <f>B84/B85</f>
        <v>#DIV/0!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57</v>
      </c>
      <c r="B89" s="123"/>
      <c r="D89" s="209" t="s">
        <v>58</v>
      </c>
      <c r="E89" s="210"/>
      <c r="F89" s="305" t="s">
        <v>59</v>
      </c>
      <c r="G89" s="306"/>
    </row>
    <row r="90" spans="1:12" ht="27" customHeight="1" x14ac:dyDescent="0.45">
      <c r="A90" s="124" t="s">
        <v>60</v>
      </c>
      <c r="B90" s="125"/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5">
      <c r="A91" s="124" t="s">
        <v>65</v>
      </c>
      <c r="B91" s="125"/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5">
      <c r="A92" s="124" t="s">
        <v>66</v>
      </c>
      <c r="B92" s="125"/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7" t="e">
        <f>ABS((F96/D96*D95)-F95)/D95</f>
        <v>#DIV/0!</v>
      </c>
    </row>
    <row r="93" spans="1:12" ht="26.25" customHeight="1" x14ac:dyDescent="0.45">
      <c r="A93" s="124" t="s">
        <v>67</v>
      </c>
      <c r="B93" s="125"/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7"/>
    </row>
    <row r="94" spans="1:12" ht="27" customHeight="1" x14ac:dyDescent="0.45">
      <c r="A94" s="124" t="s">
        <v>68</v>
      </c>
      <c r="B94" s="125"/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69</v>
      </c>
      <c r="B95" s="125"/>
      <c r="C95" s="216" t="s">
        <v>70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5">
      <c r="A96" s="124" t="s">
        <v>71</v>
      </c>
      <c r="B96" s="110"/>
      <c r="C96" s="220" t="s">
        <v>112</v>
      </c>
      <c r="D96" s="221"/>
      <c r="E96" s="140"/>
      <c r="F96" s="152"/>
    </row>
    <row r="97" spans="1:10" ht="26.25" customHeight="1" x14ac:dyDescent="0.45">
      <c r="A97" s="124" t="s">
        <v>73</v>
      </c>
      <c r="B97" s="110"/>
      <c r="C97" s="222" t="s">
        <v>113</v>
      </c>
      <c r="D97" s="223" t="e">
        <f>D96*$B$87</f>
        <v>#DIV/0!</v>
      </c>
      <c r="E97" s="155"/>
      <c r="F97" s="154" t="e">
        <f>F96*$B$87</f>
        <v>#DIV/0!</v>
      </c>
    </row>
    <row r="98" spans="1:10" ht="19.5" customHeight="1" x14ac:dyDescent="0.35">
      <c r="A98" s="124" t="s">
        <v>75</v>
      </c>
      <c r="B98" s="224" t="e">
        <f>(B97/B96)*(B95/B94)*(B93/B92)*(B91/B90)*B89</f>
        <v>#DIV/0!</v>
      </c>
      <c r="C98" s="222" t="s">
        <v>114</v>
      </c>
      <c r="D98" s="225" t="e">
        <f>D97*$B$83/100</f>
        <v>#DIV/0!</v>
      </c>
      <c r="E98" s="158"/>
      <c r="F98" s="157" t="e">
        <f>F97*$B$83/100</f>
        <v>#DIV/0!</v>
      </c>
    </row>
    <row r="99" spans="1:10" ht="19.5" customHeight="1" x14ac:dyDescent="0.35">
      <c r="A99" s="293" t="s">
        <v>77</v>
      </c>
      <c r="B99" s="308"/>
      <c r="C99" s="222" t="s">
        <v>115</v>
      </c>
      <c r="D99" s="226" t="e">
        <f>D98/$B$98</f>
        <v>#DIV/0!</v>
      </c>
      <c r="E99" s="158"/>
      <c r="F99" s="161" t="e">
        <f>F98/$B$98</f>
        <v>#DIV/0!</v>
      </c>
      <c r="G99" s="227"/>
      <c r="H99" s="150"/>
    </row>
    <row r="100" spans="1:10" ht="19.5" customHeight="1" x14ac:dyDescent="0.35">
      <c r="A100" s="295"/>
      <c r="B100" s="309"/>
      <c r="C100" s="222" t="s">
        <v>79</v>
      </c>
      <c r="D100" s="228" t="e">
        <f>$B$56/$B$116</f>
        <v>#DIV/0!</v>
      </c>
      <c r="F100" s="166"/>
      <c r="G100" s="229"/>
      <c r="H100" s="150"/>
    </row>
    <row r="101" spans="1:10" ht="18" x14ac:dyDescent="0.35">
      <c r="C101" s="222" t="s">
        <v>80</v>
      </c>
      <c r="D101" s="223" t="e">
        <f>D100*$B$98</f>
        <v>#DIV/0!</v>
      </c>
      <c r="F101" s="166"/>
      <c r="G101" s="227"/>
      <c r="H101" s="150"/>
    </row>
    <row r="102" spans="1:10" ht="19.5" customHeight="1" x14ac:dyDescent="0.35">
      <c r="C102" s="230" t="s">
        <v>81</v>
      </c>
      <c r="D102" s="231" t="e">
        <f>D101/B34</f>
        <v>#DIV/0!</v>
      </c>
      <c r="F102" s="170"/>
      <c r="G102" s="227"/>
      <c r="H102" s="150"/>
      <c r="J102" s="232"/>
    </row>
    <row r="103" spans="1:10" ht="18" x14ac:dyDescent="0.35">
      <c r="C103" s="233" t="s">
        <v>116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" x14ac:dyDescent="0.35">
      <c r="C104" s="200" t="s">
        <v>83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5">
      <c r="C105" s="202" t="s">
        <v>19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117</v>
      </c>
      <c r="B107" s="123"/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5">
      <c r="A108" s="124" t="s">
        <v>121</v>
      </c>
      <c r="B108" s="125"/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5">
      <c r="A109" s="124" t="s">
        <v>94</v>
      </c>
      <c r="B109" s="125"/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5">
      <c r="A110" s="124" t="s">
        <v>95</v>
      </c>
      <c r="B110" s="125"/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5">
      <c r="A111" s="124" t="s">
        <v>96</v>
      </c>
      <c r="B111" s="125"/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5">
      <c r="A112" s="124" t="s">
        <v>97</v>
      </c>
      <c r="B112" s="125"/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5">
      <c r="A113" s="124" t="s">
        <v>99</v>
      </c>
      <c r="B113" s="125"/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5">
      <c r="A114" s="124" t="s">
        <v>100</v>
      </c>
      <c r="B114" s="125"/>
      <c r="C114" s="243"/>
      <c r="D114" s="197"/>
      <c r="E114" s="98"/>
      <c r="F114" s="250"/>
    </row>
    <row r="115" spans="1:10" ht="26.25" customHeight="1" x14ac:dyDescent="0.45">
      <c r="A115" s="124" t="s">
        <v>101</v>
      </c>
      <c r="B115" s="125"/>
      <c r="C115" s="243"/>
      <c r="D115" s="251" t="s">
        <v>70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5">
      <c r="A116" s="124" t="s">
        <v>102</v>
      </c>
      <c r="B116" s="156" t="e">
        <f>(B115/B114)*(B113/B112)*(B111/B110)*(B109/B108)*B107</f>
        <v>#DIV/0!</v>
      </c>
      <c r="C116" s="253"/>
      <c r="D116" s="216" t="s">
        <v>83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5">
      <c r="A117" s="293" t="s">
        <v>77</v>
      </c>
      <c r="B117" s="294"/>
      <c r="C117" s="255"/>
      <c r="D117" s="256" t="s">
        <v>19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5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105</v>
      </c>
      <c r="B120" s="204" t="s">
        <v>122</v>
      </c>
      <c r="C120" s="297" t="str">
        <f>B20</f>
        <v>Artesunate 100 mg</v>
      </c>
      <c r="D120" s="297"/>
      <c r="E120" s="205" t="s">
        <v>123</v>
      </c>
      <c r="F120" s="205"/>
      <c r="G120" s="206" t="e">
        <f>F115</f>
        <v>#DIV/0!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298" t="s">
        <v>25</v>
      </c>
      <c r="C122" s="298"/>
      <c r="E122" s="211" t="s">
        <v>26</v>
      </c>
      <c r="F122" s="260"/>
      <c r="G122" s="298" t="s">
        <v>27</v>
      </c>
      <c r="H122" s="298"/>
    </row>
    <row r="123" spans="1:10" ht="69.900000000000006" customHeight="1" x14ac:dyDescent="0.35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29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4:H34"/>
  <sheetViews>
    <sheetView workbookViewId="0">
      <selection activeCell="F34" sqref="F34"/>
    </sheetView>
  </sheetViews>
  <sheetFormatPr defaultRowHeight="13.2" x14ac:dyDescent="0.25"/>
  <sheetData>
    <row r="34" spans="6:8" x14ac:dyDescent="0.25">
      <c r="F34">
        <f>100/200*10/20</f>
        <v>0.25</v>
      </c>
      <c r="H34">
        <f>10/20*10/20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Artesunate</vt:lpstr>
      <vt:lpstr>Sheet1</vt:lpstr>
      <vt:lpstr>Artesunate!Print_Area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2016-07-26T10:42:46Z</cp:lastPrinted>
  <dcterms:created xsi:type="dcterms:W3CDTF">2005-07-05T10:19:27Z</dcterms:created>
  <dcterms:modified xsi:type="dcterms:W3CDTF">2016-08-25T12:12:02Z</dcterms:modified>
</cp:coreProperties>
</file>