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artin\2016\"/>
    </mc:Choice>
  </mc:AlternateContent>
  <bookViews>
    <workbookView xWindow="480" yWindow="495" windowWidth="20775" windowHeight="9405" activeTab="2"/>
  </bookViews>
  <sheets>
    <sheet name="SST" sheetId="1" r:id="rId1"/>
    <sheet name="Uniformity" sheetId="2" r:id="rId2"/>
    <sheet name="Abacavir" sheetId="3" r:id="rId3"/>
  </sheets>
  <externalReferences>
    <externalReference r:id="rId4"/>
  </externalReferences>
  <definedNames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B42" i="1" l="1"/>
  <c r="B41" i="1"/>
  <c r="B40" i="1"/>
  <c r="B39" i="1"/>
  <c r="B21" i="1"/>
  <c r="B20" i="1"/>
  <c r="C120" i="3"/>
  <c r="B116" i="3"/>
  <c r="D100" i="3" s="1"/>
  <c r="B98" i="3"/>
  <c r="F95" i="3"/>
  <c r="D95" i="3"/>
  <c r="I92" i="3" s="1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D101" i="3"/>
  <c r="E91" i="3" s="1"/>
  <c r="F97" i="3"/>
  <c r="F44" i="3"/>
  <c r="F45" i="3" s="1"/>
  <c r="D49" i="3"/>
  <c r="D45" i="3"/>
  <c r="E39" i="3" s="1"/>
  <c r="D98" i="3"/>
  <c r="D99" i="3" s="1"/>
  <c r="F98" i="3"/>
  <c r="F99" i="3" s="1"/>
  <c r="D46" i="3"/>
  <c r="E94" i="3"/>
  <c r="C49" i="2"/>
  <c r="C50" i="2"/>
  <c r="D24" i="2"/>
  <c r="D26" i="2"/>
  <c r="D28" i="2"/>
  <c r="D30" i="2"/>
  <c r="D32" i="2"/>
  <c r="D34" i="2"/>
  <c r="D36" i="2"/>
  <c r="D38" i="2"/>
  <c r="D40" i="2"/>
  <c r="D42" i="2"/>
  <c r="B49" i="2"/>
  <c r="D49" i="2"/>
  <c r="D50" i="2"/>
  <c r="E40" i="3"/>
  <c r="B69" i="3"/>
  <c r="G91" i="3" l="1"/>
  <c r="G41" i="3"/>
  <c r="F46" i="3"/>
  <c r="G40" i="3"/>
  <c r="G39" i="3"/>
  <c r="E38" i="3"/>
  <c r="D102" i="3"/>
  <c r="G94" i="3"/>
  <c r="E92" i="3"/>
  <c r="E93" i="3"/>
  <c r="E41" i="3"/>
  <c r="E42" i="3" s="1"/>
  <c r="G38" i="3"/>
  <c r="G93" i="3"/>
  <c r="G92" i="3"/>
  <c r="G95" i="3" l="1"/>
  <c r="G42" i="3"/>
  <c r="D52" i="3"/>
  <c r="D103" i="3"/>
  <c r="E112" i="3" s="1"/>
  <c r="F112" i="3" s="1"/>
  <c r="E95" i="3"/>
  <c r="D50" i="3"/>
  <c r="G70" i="3" s="1"/>
  <c r="H70" i="3" s="1"/>
  <c r="D105" i="3"/>
  <c r="E113" i="3"/>
  <c r="F113" i="3" s="1"/>
  <c r="G63" i="3"/>
  <c r="H63" i="3" s="1"/>
  <c r="G71" i="3"/>
  <c r="H71" i="3" s="1"/>
  <c r="G62" i="3"/>
  <c r="H62" i="3" s="1"/>
  <c r="E109" i="3" l="1"/>
  <c r="F109" i="3" s="1"/>
  <c r="G64" i="3"/>
  <c r="H64" i="3" s="1"/>
  <c r="G65" i="3"/>
  <c r="H65" i="3" s="1"/>
  <c r="D104" i="3"/>
  <c r="E111" i="3"/>
  <c r="F111" i="3" s="1"/>
  <c r="E108" i="3"/>
  <c r="F108" i="3" s="1"/>
  <c r="E110" i="3"/>
  <c r="F110" i="3" s="1"/>
  <c r="G68" i="3"/>
  <c r="H68" i="3" s="1"/>
  <c r="G66" i="3"/>
  <c r="H66" i="3" s="1"/>
  <c r="G69" i="3"/>
  <c r="H69" i="3" s="1"/>
  <c r="G60" i="3"/>
  <c r="H60" i="3" s="1"/>
  <c r="G61" i="3"/>
  <c r="H61" i="3" s="1"/>
  <c r="D51" i="3"/>
  <c r="G67" i="3"/>
  <c r="H67" i="3" s="1"/>
  <c r="G72" i="3" l="1"/>
  <c r="G73" i="3" s="1"/>
  <c r="E117" i="3"/>
  <c r="E115" i="3"/>
  <c r="E116" i="3" s="1"/>
  <c r="G74" i="3"/>
  <c r="F115" i="3"/>
  <c r="F117" i="3"/>
  <c r="H74" i="3"/>
  <c r="H72" i="3"/>
  <c r="H73" i="3" l="1"/>
  <c r="G76" i="3"/>
  <c r="G120" i="3"/>
  <c r="F116" i="3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<sst xmlns="http://schemas.openxmlformats.org/spreadsheetml/2006/main" count="232" uniqueCount="129">
  <si>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</si>
  <si>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</si>
  <si>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</si>
  <si>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</si>
  <si>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</si>
  <si>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ABACAVIR 300 TABLETS</t>
  </si>
  <si>
    <t>% age Purity:</t>
  </si>
  <si>
    <t>NDQD201606984</t>
  </si>
  <si>
    <t>Weight (mg):</t>
  </si>
  <si>
    <t xml:space="preserve">Abacavir Sulfate </t>
  </si>
  <si>
    <t>Standard Conc (mg/mL):</t>
  </si>
  <si>
    <t>Abacavir Sulfate 300mg</t>
  </si>
  <si>
    <t>2016-06-08 15:35:09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</si>
  <si>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</si>
  <si>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</si>
  <si>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</si>
  <si>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</si>
  <si>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</si>
  <si>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</si>
  <si>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</si>
  <si>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</si>
  <si>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</si>
  <si>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</si>
  <si>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</si>
  <si>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</si>
  <si>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</si>
  <si>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</si>
  <si>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</si>
  <si>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</si>
  <si>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</si>
  <si>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</si>
  <si>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</si>
  <si>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</si>
  <si>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</si>
  <si>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</si>
  <si>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</si>
  <si>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</si>
  <si>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</si>
  <si>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</si>
  <si>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</si>
  <si>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</si>
  <si>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</si>
  <si>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</si>
  <si>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</si>
  <si>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</si>
  <si>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</si>
  <si>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</si>
  <si>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</si>
  <si>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</si>
  <si>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</si>
  <si>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</si>
  <si>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</si>
  <si>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</si>
  <si>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</si>
  <si>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</si>
  <si>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</si>
  <si>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</si>
  <si>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</si>
  <si>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</si>
  <si>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</si>
  <si>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</si>
  <si>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</si>
  <si>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</si>
  <si>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</si>
  <si>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</si>
  <si>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</si>
  <si>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</si>
  <si>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</si>
  <si>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</si>
  <si>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</si>
  <si>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</si>
  <si>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</si>
  <si>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</si>
  <si>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</si>
  <si>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</si>
  <si>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</si>
  <si>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</si>
  <si>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</si>
  <si>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</si>
  <si>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</si>
  <si>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</si>
  <si>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</si>
  <si>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</si>
  <si>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</si>
  <si>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</si>
  <si>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</si>
  <si>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</si>
  <si>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</si>
  <si>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</si>
  <si>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</si>
  <si>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</si>
  <si>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</si>
  <si>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</si>
  <si>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</si>
  <si>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</si>
  <si>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</si>
  <si>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</si>
  <si>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</si>
  <si>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</si>
  <si>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</si>
  <si>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</si>
  <si>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</si>
  <si>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</si>
  <si>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</si>
  <si>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</si>
  <si>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</si>
  <si>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</si>
  <si>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</si>
  <si>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</si>
  <si>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</si>
  <si>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</si>
  <si>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</si>
  <si>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</si>
  <si>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</si>
  <si>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</si>
  <si>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</si>
  <si>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</si>
  <si>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</si>
  <si>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</si>
  <si>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</si>
  <si>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</si>
  <si>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</si>
  <si>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</si>
  <si>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</si>
  <si>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</si>
  <si>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ABACAVIR TABLETS USP 300 MG</t>
  </si>
  <si>
    <t xml:space="preserve">Abacavir Sulfate USP </t>
  </si>
  <si>
    <t>Abacavir Sulfate USP</t>
  </si>
  <si>
    <t>F1L487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</si>
</sst>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5" fillId="2" borderId="0" xfId="0" applyNumberFormat="1" applyFont="1" applyFill="1" applyAlignment="1">
      <alignment horizontal="left"/>
    </xf>
    <xf numFmtId="171" fontId="5" fillId="2" borderId="0" xfId="0" applyNumberFormat="1" applyFont="1" applyFill="1" applyAlignment="1">
      <alignment horizontal="center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9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/>
      <sheetData sheetId="1"/>
      <sheetData sheetId="2">
        <row r="43">
          <cell r="D43">
            <v>19.03</v>
          </cell>
        </row>
        <row r="46">
          <cell r="D46">
            <v>0.16149824792318931</v>
          </cell>
        </row>
        <row r="96">
          <cell r="D96">
            <v>9.7200000000000006</v>
          </cell>
        </row>
        <row r="99">
          <cell r="D99">
            <v>6.5991086487163439E-3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125</v>
      </c>
      <c r="D17" s="9"/>
      <c r="E17" s="10"/>
    </row>
    <row r="18" spans="1:6" ht="16.5" customHeight="1" x14ac:dyDescent="0.3">
      <c r="A18" s="11" t="s">
        <v>4</v>
      </c>
      <c r="B18" s="280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[1]Abacavir!D43</f>
        <v>19.03</v>
      </c>
      <c r="C20" s="10"/>
      <c r="D20" s="10"/>
      <c r="E20" s="10"/>
    </row>
    <row r="21" spans="1:6" ht="16.5" customHeight="1" x14ac:dyDescent="0.3">
      <c r="A21" s="7" t="s">
        <v>10</v>
      </c>
      <c r="B21" s="281">
        <f>[1]Abacavir!D46</f>
        <v>0.16149824792318931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123340882</v>
      </c>
      <c r="C24" s="17">
        <v>34517.599999999999</v>
      </c>
      <c r="D24" s="18">
        <v>2</v>
      </c>
      <c r="E24" s="19">
        <v>13.9</v>
      </c>
    </row>
    <row r="25" spans="1:6" ht="16.5" customHeight="1" x14ac:dyDescent="0.3">
      <c r="A25" s="16">
        <v>2</v>
      </c>
      <c r="B25" s="17">
        <v>123960424</v>
      </c>
      <c r="C25" s="17">
        <v>34482.5</v>
      </c>
      <c r="D25" s="18">
        <v>2</v>
      </c>
      <c r="E25" s="18">
        <v>13.9</v>
      </c>
    </row>
    <row r="26" spans="1:6" ht="16.5" customHeight="1" x14ac:dyDescent="0.3">
      <c r="A26" s="16">
        <v>3</v>
      </c>
      <c r="B26" s="17">
        <v>123969373</v>
      </c>
      <c r="C26" s="17">
        <v>34465.199999999997</v>
      </c>
      <c r="D26" s="18">
        <v>2</v>
      </c>
      <c r="E26" s="18">
        <v>13.9</v>
      </c>
    </row>
    <row r="27" spans="1:6" ht="16.5" customHeight="1" x14ac:dyDescent="0.3">
      <c r="A27" s="16">
        <v>4</v>
      </c>
      <c r="B27" s="17">
        <v>124179600</v>
      </c>
      <c r="C27" s="17">
        <v>34540.1</v>
      </c>
      <c r="D27" s="18">
        <v>2</v>
      </c>
      <c r="E27" s="18">
        <v>13.8</v>
      </c>
    </row>
    <row r="28" spans="1:6" ht="16.5" customHeight="1" x14ac:dyDescent="0.3">
      <c r="A28" s="16">
        <v>5</v>
      </c>
      <c r="B28" s="17">
        <v>125270811</v>
      </c>
      <c r="C28" s="17">
        <v>34414.300000000003</v>
      </c>
      <c r="D28" s="18">
        <v>2</v>
      </c>
      <c r="E28" s="18">
        <v>13.8</v>
      </c>
    </row>
    <row r="29" spans="1:6" ht="16.5" customHeight="1" x14ac:dyDescent="0.3">
      <c r="A29" s="16">
        <v>6</v>
      </c>
      <c r="B29" s="20">
        <v>125189633</v>
      </c>
      <c r="C29" s="282">
        <v>34495</v>
      </c>
      <c r="D29" s="21">
        <v>2</v>
      </c>
      <c r="E29" s="21">
        <v>13.8</v>
      </c>
    </row>
    <row r="30" spans="1:6" ht="16.5" customHeight="1" x14ac:dyDescent="0.3">
      <c r="A30" s="22" t="s">
        <v>18</v>
      </c>
      <c r="B30" s="23">
        <f>AVERAGE(B24:B29)</f>
        <v>124318453.83333333</v>
      </c>
      <c r="C30" s="24">
        <f>AVERAGE(C24:C29)</f>
        <v>34485.783333333333</v>
      </c>
      <c r="D30" s="25">
        <f>AVERAGE(D24:D29)</f>
        <v>2</v>
      </c>
      <c r="E30" s="25">
        <f>AVERAGE(E24:E29)</f>
        <v>13.85</v>
      </c>
    </row>
    <row r="31" spans="1:6" ht="16.5" customHeight="1" x14ac:dyDescent="0.3">
      <c r="A31" s="26" t="s">
        <v>19</v>
      </c>
      <c r="B31" s="27">
        <f>(STDEV(B24:B29)/B30)</f>
        <v>6.116408336398549E-3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280" t="str">
        <f>B18</f>
        <v xml:space="preserve">Abacavir Sulfate USP 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f>[1]Abacavir!D96</f>
        <v>9.7200000000000006</v>
      </c>
      <c r="C41" s="10"/>
      <c r="D41" s="10"/>
      <c r="E41" s="10"/>
    </row>
    <row r="42" spans="1:6" ht="16.5" customHeight="1" x14ac:dyDescent="0.3">
      <c r="A42" s="7" t="s">
        <v>10</v>
      </c>
      <c r="B42" s="281">
        <f>[1]Abacavir!D99</f>
        <v>6.5991086487163439E-3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4" t="s">
        <v>26</v>
      </c>
      <c r="C59" s="284"/>
      <c r="E59" s="44" t="s">
        <v>27</v>
      </c>
      <c r="F59" s="45"/>
      <c r="G59" s="44" t="s">
        <v>28</v>
      </c>
    </row>
    <row r="60" spans="1:7" ht="26.25" customHeight="1" x14ac:dyDescent="0.3">
      <c r="A60" s="46" t="s">
        <v>29</v>
      </c>
      <c r="B60" s="47"/>
      <c r="C60" s="47"/>
      <c r="E60" s="47"/>
      <c r="F60" s="2"/>
      <c r="G60" s="48"/>
    </row>
    <row r="61" spans="1:7" ht="4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0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89"/>
    </row>
    <row r="14" spans="1:7" ht="16.5" customHeight="1" x14ac:dyDescent="0.3">
      <c r="A14" s="292" t="s">
        <v>33</v>
      </c>
      <c r="B14" s="292"/>
      <c r="C14" s="59" t="s">
        <v>5</v>
      </c>
    </row>
    <row r="15" spans="1:7" ht="16.5" customHeight="1" x14ac:dyDescent="0.3">
      <c r="A15" s="292" t="s">
        <v>34</v>
      </c>
      <c r="B15" s="292"/>
      <c r="C15" s="59" t="s">
        <v>7</v>
      </c>
    </row>
    <row r="16" spans="1:7" ht="16.5" customHeight="1" x14ac:dyDescent="0.3">
      <c r="A16" s="292" t="s">
        <v>35</v>
      </c>
      <c r="B16" s="292"/>
      <c r="C16" s="59" t="s">
        <v>9</v>
      </c>
    </row>
    <row r="17" spans="1:5" ht="16.5" customHeight="1" x14ac:dyDescent="0.3">
      <c r="A17" s="292" t="s">
        <v>36</v>
      </c>
      <c r="B17" s="292"/>
      <c r="C17" s="59" t="s">
        <v>11</v>
      </c>
    </row>
    <row r="18" spans="1:5" ht="16.5" customHeight="1" x14ac:dyDescent="0.3">
      <c r="A18" s="292" t="s">
        <v>37</v>
      </c>
      <c r="B18" s="292"/>
      <c r="C18" s="96" t="s">
        <v>12</v>
      </c>
    </row>
    <row r="19" spans="1:5" ht="16.5" customHeight="1" x14ac:dyDescent="0.3">
      <c r="A19" s="292" t="s">
        <v>38</v>
      </c>
      <c r="B19" s="292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7" t="s">
        <v>1</v>
      </c>
      <c r="B21" s="287"/>
      <c r="C21" s="58" t="s">
        <v>39</v>
      </c>
      <c r="D21" s="65"/>
    </row>
    <row r="22" spans="1:5" ht="15.75" customHeight="1" x14ac:dyDescent="0.3">
      <c r="A22" s="291"/>
      <c r="B22" s="291"/>
      <c r="C22" s="56"/>
      <c r="D22" s="291"/>
      <c r="E22" s="291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802.61</v>
      </c>
      <c r="D24" s="86">
        <f t="shared" ref="D24:D43" si="0">(C24-$C$46)/$C$46</f>
        <v>-1.7969610783846665E-2</v>
      </c>
      <c r="E24" s="52"/>
    </row>
    <row r="25" spans="1:5" ht="15.75" customHeight="1" x14ac:dyDescent="0.3">
      <c r="C25" s="94">
        <v>825.04</v>
      </c>
      <c r="D25" s="87">
        <f t="shared" si="0"/>
        <v>9.4745297453247522E-3</v>
      </c>
      <c r="E25" s="52"/>
    </row>
    <row r="26" spans="1:5" ht="15.75" customHeight="1" x14ac:dyDescent="0.3">
      <c r="C26" s="94">
        <v>845.61</v>
      </c>
      <c r="D26" s="87">
        <f t="shared" si="0"/>
        <v>3.4642874403597541E-2</v>
      </c>
      <c r="E26" s="52"/>
    </row>
    <row r="27" spans="1:5" ht="15.75" customHeight="1" x14ac:dyDescent="0.3">
      <c r="C27" s="94">
        <v>801.02</v>
      </c>
      <c r="D27" s="87">
        <f t="shared" si="0"/>
        <v>-1.9915049189614988E-2</v>
      </c>
      <c r="E27" s="52"/>
    </row>
    <row r="28" spans="1:5" ht="15.75" customHeight="1" x14ac:dyDescent="0.3">
      <c r="C28" s="94">
        <v>819.1</v>
      </c>
      <c r="D28" s="87">
        <f t="shared" si="0"/>
        <v>2.2066655124546252E-3</v>
      </c>
      <c r="E28" s="52"/>
    </row>
    <row r="29" spans="1:5" ht="15.75" customHeight="1" x14ac:dyDescent="0.3">
      <c r="C29" s="94">
        <v>827.02</v>
      </c>
      <c r="D29" s="87">
        <f t="shared" si="0"/>
        <v>1.1897151156281507E-2</v>
      </c>
      <c r="E29" s="52"/>
    </row>
    <row r="30" spans="1:5" ht="15.75" customHeight="1" x14ac:dyDescent="0.3">
      <c r="C30" s="94">
        <v>813.26</v>
      </c>
      <c r="D30" s="87">
        <f t="shared" si="0"/>
        <v>-4.9388441037006266E-3</v>
      </c>
      <c r="E30" s="52"/>
    </row>
    <row r="31" spans="1:5" ht="15.75" customHeight="1" x14ac:dyDescent="0.3">
      <c r="C31" s="94">
        <v>820.19</v>
      </c>
      <c r="D31" s="87">
        <f t="shared" si="0"/>
        <v>3.5403308346480169E-3</v>
      </c>
      <c r="E31" s="52"/>
    </row>
    <row r="32" spans="1:5" ht="15.75" customHeight="1" x14ac:dyDescent="0.3">
      <c r="C32" s="94">
        <v>811.24</v>
      </c>
      <c r="D32" s="87">
        <f t="shared" si="0"/>
        <v>-7.4104073613433319E-3</v>
      </c>
      <c r="E32" s="52"/>
    </row>
    <row r="33" spans="1:7" ht="15.75" customHeight="1" x14ac:dyDescent="0.3">
      <c r="C33" s="94">
        <v>810.69</v>
      </c>
      <c r="D33" s="87">
        <f t="shared" si="0"/>
        <v>-8.0833577532757033E-3</v>
      </c>
      <c r="E33" s="52"/>
    </row>
    <row r="34" spans="1:7" ht="15.75" customHeight="1" x14ac:dyDescent="0.3">
      <c r="C34" s="94">
        <v>813.12</v>
      </c>
      <c r="D34" s="87">
        <f t="shared" si="0"/>
        <v>-5.1101405671015914E-3</v>
      </c>
      <c r="E34" s="52"/>
    </row>
    <row r="35" spans="1:7" ht="15.75" customHeight="1" x14ac:dyDescent="0.3">
      <c r="C35" s="94">
        <v>801.07</v>
      </c>
      <c r="D35" s="87">
        <f t="shared" si="0"/>
        <v>-1.9853871881257413E-2</v>
      </c>
      <c r="E35" s="52"/>
    </row>
    <row r="36" spans="1:7" ht="15.75" customHeight="1" x14ac:dyDescent="0.3">
      <c r="C36" s="94">
        <v>817.67</v>
      </c>
      <c r="D36" s="87">
        <f t="shared" si="0"/>
        <v>4.5699449343023987E-4</v>
      </c>
      <c r="E36" s="52"/>
    </row>
    <row r="37" spans="1:7" ht="15.75" customHeight="1" x14ac:dyDescent="0.3">
      <c r="C37" s="94">
        <v>813.96</v>
      </c>
      <c r="D37" s="87">
        <f t="shared" si="0"/>
        <v>-4.0823617866956657E-3</v>
      </c>
      <c r="E37" s="52"/>
    </row>
    <row r="38" spans="1:7" ht="15.75" customHeight="1" x14ac:dyDescent="0.3">
      <c r="C38" s="94">
        <v>824.63</v>
      </c>
      <c r="D38" s="87">
        <f t="shared" si="0"/>
        <v>8.9728758167933464E-3</v>
      </c>
      <c r="E38" s="52"/>
    </row>
    <row r="39" spans="1:7" ht="15.75" customHeight="1" x14ac:dyDescent="0.3">
      <c r="C39" s="94">
        <v>815.61</v>
      </c>
      <c r="D39" s="87">
        <f t="shared" si="0"/>
        <v>-2.0635106108984158E-3</v>
      </c>
      <c r="E39" s="52"/>
    </row>
    <row r="40" spans="1:7" ht="15.75" customHeight="1" x14ac:dyDescent="0.3">
      <c r="C40" s="94">
        <v>808.32</v>
      </c>
      <c r="D40" s="87">
        <f t="shared" si="0"/>
        <v>-1.0983162169420888E-2</v>
      </c>
      <c r="E40" s="52"/>
    </row>
    <row r="41" spans="1:7" ht="15.75" customHeight="1" x14ac:dyDescent="0.3">
      <c r="C41" s="94">
        <v>804.7</v>
      </c>
      <c r="D41" s="87">
        <f t="shared" si="0"/>
        <v>-1.5412399294503406E-2</v>
      </c>
      <c r="E41" s="52"/>
    </row>
    <row r="42" spans="1:7" ht="15.75" customHeight="1" x14ac:dyDescent="0.3">
      <c r="C42" s="94">
        <v>827.23</v>
      </c>
      <c r="D42" s="87">
        <f t="shared" si="0"/>
        <v>1.2154095851383023E-2</v>
      </c>
      <c r="E42" s="52"/>
    </row>
    <row r="43" spans="1:7" ht="16.5" customHeight="1" x14ac:dyDescent="0.3">
      <c r="C43" s="95">
        <v>843.84</v>
      </c>
      <c r="D43" s="88">
        <f t="shared" si="0"/>
        <v>3.24771976877423E-2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16345.930000000002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817.29650000000015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5">
        <f>C46</f>
        <v>817.29650000000015</v>
      </c>
      <c r="C49" s="92">
        <f>-IF(C46&lt;=80,10%,IF(C46&lt;250,7.5%,5%))</f>
        <v>-0.05</v>
      </c>
      <c r="D49" s="80">
        <f>IF(C46&lt;=80,C46*0.9,IF(C46&lt;250,C46*0.925,C46*0.95))</f>
        <v>776.43167500000015</v>
      </c>
    </row>
    <row r="50" spans="1:6" ht="17.25" customHeight="1" x14ac:dyDescent="0.3">
      <c r="B50" s="286"/>
      <c r="C50" s="93">
        <f>IF(C46&lt;=80, 10%, IF(C46&lt;250, 7.5%, 5%))</f>
        <v>0.05</v>
      </c>
      <c r="D50" s="80">
        <f>IF(C46&lt;=80, C46*1.1, IF(C46&lt;250, C46*1.075, C46*1.05))</f>
        <v>858.16132500000015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2" zoomScale="55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7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99" t="s">
        <v>33</v>
      </c>
      <c r="B18" s="326" t="s">
        <v>5</v>
      </c>
      <c r="C18" s="326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331" t="s">
        <v>9</v>
      </c>
      <c r="C20" s="331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3"/>
    </row>
    <row r="22" spans="1:14" ht="26.25" customHeight="1" x14ac:dyDescent="0.4">
      <c r="A22" s="99" t="s">
        <v>37</v>
      </c>
      <c r="B22" s="104">
        <v>42530.632094907407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42545.632094907407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6" t="s">
        <v>127</v>
      </c>
      <c r="C26" s="326"/>
    </row>
    <row r="27" spans="1:14" ht="26.25" customHeight="1" x14ac:dyDescent="0.4">
      <c r="A27" s="108" t="s">
        <v>48</v>
      </c>
      <c r="B27" s="324" t="s">
        <v>128</v>
      </c>
      <c r="C27" s="324"/>
    </row>
    <row r="28" spans="1:14" ht="27" customHeight="1" x14ac:dyDescent="0.4">
      <c r="A28" s="108" t="s">
        <v>6</v>
      </c>
      <c r="B28" s="109">
        <v>99.4</v>
      </c>
    </row>
    <row r="29" spans="1:14" s="13" customFormat="1" ht="27" customHeight="1" x14ac:dyDescent="0.4">
      <c r="A29" s="108" t="s">
        <v>49</v>
      </c>
      <c r="B29" s="110">
        <v>0</v>
      </c>
      <c r="C29" s="301" t="s">
        <v>50</v>
      </c>
      <c r="D29" s="302"/>
      <c r="E29" s="302"/>
      <c r="F29" s="302"/>
      <c r="G29" s="303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572.66</v>
      </c>
      <c r="C31" s="304" t="s">
        <v>53</v>
      </c>
      <c r="D31" s="305"/>
      <c r="E31" s="305"/>
      <c r="F31" s="305"/>
      <c r="G31" s="305"/>
      <c r="H31" s="306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670.74</v>
      </c>
      <c r="C32" s="304" t="s">
        <v>55</v>
      </c>
      <c r="D32" s="305"/>
      <c r="E32" s="305"/>
      <c r="F32" s="305"/>
      <c r="G32" s="305"/>
      <c r="H32" s="306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0.8537734442555982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20</v>
      </c>
      <c r="C36" s="98"/>
      <c r="D36" s="307" t="s">
        <v>59</v>
      </c>
      <c r="E36" s="325"/>
      <c r="F36" s="307" t="s">
        <v>60</v>
      </c>
      <c r="G36" s="308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10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50</v>
      </c>
      <c r="C38" s="130">
        <v>1</v>
      </c>
      <c r="D38" s="131">
        <v>125553970</v>
      </c>
      <c r="E38" s="132">
        <f>IF(ISBLANK(D38),"-",$D$48/$D$45*D38)</f>
        <v>139937831.46643621</v>
      </c>
      <c r="F38" s="131">
        <v>121535852</v>
      </c>
      <c r="G38" s="133">
        <f>IF(ISBLANK(F38),"-",$D$48/$F$45*F38)</f>
        <v>140862956.20990336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5">
        <v>2</v>
      </c>
      <c r="D39" s="136">
        <v>125623795</v>
      </c>
      <c r="E39" s="137">
        <f>IF(ISBLANK(D39),"-",$D$48/$D$45*D39)</f>
        <v>140015655.84014693</v>
      </c>
      <c r="F39" s="136">
        <v>121623544</v>
      </c>
      <c r="G39" s="138">
        <f>IF(ISBLANK(F39),"-",$D$48/$F$45*F39)</f>
        <v>140964593.3330459</v>
      </c>
      <c r="I39" s="309">
        <f>ABS((F43/D43*D42)-F42)/D42</f>
        <v>5.952021874035901E-3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125730777</v>
      </c>
      <c r="E40" s="137">
        <f>IF(ISBLANK(D40),"-",$D$48/$D$45*D40)</f>
        <v>140134894.03775981</v>
      </c>
      <c r="F40" s="136">
        <v>121534120</v>
      </c>
      <c r="G40" s="138">
        <f>IF(ISBLANK(F40),"-",$D$48/$F$45*F40)</f>
        <v>140860948.78052232</v>
      </c>
      <c r="I40" s="309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125636180.66666667</v>
      </c>
      <c r="E42" s="147">
        <f>AVERAGE(E38:E41)</f>
        <v>140029460.44811431</v>
      </c>
      <c r="F42" s="146">
        <f>AVERAGE(F38:F41)</f>
        <v>121564505.33333333</v>
      </c>
      <c r="G42" s="148">
        <f>AVERAGE(G38:G41)</f>
        <v>140896166.10782385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19.03</v>
      </c>
      <c r="E43" s="139"/>
      <c r="F43" s="151">
        <v>18.3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16.247308644184034</v>
      </c>
      <c r="E44" s="154"/>
      <c r="F44" s="153">
        <f>F43*$B$34</f>
        <v>15.624054029877447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16.149824792318931</v>
      </c>
      <c r="E45" s="157"/>
      <c r="F45" s="156">
        <f>F44*$B$30/100</f>
        <v>15.530309705698182</v>
      </c>
      <c r="H45" s="149"/>
    </row>
    <row r="46" spans="1:14" ht="19.5" customHeight="1" x14ac:dyDescent="0.3">
      <c r="A46" s="295" t="s">
        <v>78</v>
      </c>
      <c r="B46" s="296"/>
      <c r="C46" s="152" t="s">
        <v>79</v>
      </c>
      <c r="D46" s="158">
        <f>D45/$B$45</f>
        <v>0.16149824792318931</v>
      </c>
      <c r="E46" s="159"/>
      <c r="F46" s="160">
        <f>F45/$B$45</f>
        <v>0.15530309705698181</v>
      </c>
      <c r="H46" s="149"/>
    </row>
    <row r="47" spans="1:14" ht="27" customHeight="1" x14ac:dyDescent="0.4">
      <c r="A47" s="297"/>
      <c r="B47" s="298"/>
      <c r="C47" s="161" t="s">
        <v>80</v>
      </c>
      <c r="D47" s="162">
        <v>0.18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18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21.082876401355083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140462813.27796909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3.4194929626774266E-3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Abacavir Sulfate 300mg</v>
      </c>
    </row>
    <row r="56" spans="1:12" ht="26.25" customHeight="1" x14ac:dyDescent="0.4">
      <c r="A56" s="176" t="s">
        <v>87</v>
      </c>
      <c r="B56" s="177">
        <v>300</v>
      </c>
      <c r="C56" s="98" t="str">
        <f>B20</f>
        <v xml:space="preserve">Abacavir Sulfate </v>
      </c>
      <c r="H56" s="178"/>
    </row>
    <row r="57" spans="1:12" ht="18.75" x14ac:dyDescent="0.3">
      <c r="A57" s="175" t="s">
        <v>88</v>
      </c>
      <c r="B57" s="267">
        <f>Uniformity!C46</f>
        <v>817.29650000000015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 x14ac:dyDescent="0.4">
      <c r="A60" s="123" t="s">
        <v>93</v>
      </c>
      <c r="B60" s="124">
        <v>10</v>
      </c>
      <c r="C60" s="312" t="s">
        <v>94</v>
      </c>
      <c r="D60" s="315">
        <v>245.51</v>
      </c>
      <c r="E60" s="181">
        <v>1</v>
      </c>
      <c r="F60" s="182">
        <v>138121164</v>
      </c>
      <c r="G60" s="268">
        <f>IF(ISBLANK(F60),"-",(F60/$D$50*$D$47*$B$68)*($B$57/$D$60))</f>
        <v>294.61294771773777</v>
      </c>
      <c r="H60" s="183">
        <f t="shared" ref="H60:H71" si="0">IF(ISBLANK(F60),"-",G60/$B$56)</f>
        <v>0.98204315905912587</v>
      </c>
      <c r="L60" s="111"/>
    </row>
    <row r="61" spans="1:12" s="13" customFormat="1" ht="26.25" customHeight="1" x14ac:dyDescent="0.4">
      <c r="A61" s="123" t="s">
        <v>95</v>
      </c>
      <c r="B61" s="124">
        <v>50</v>
      </c>
      <c r="C61" s="313"/>
      <c r="D61" s="316"/>
      <c r="E61" s="184">
        <v>2</v>
      </c>
      <c r="F61" s="136">
        <v>138073549</v>
      </c>
      <c r="G61" s="269">
        <f>IF(ISBLANK(F61),"-",(F61/$D$50*$D$47*$B$68)*($B$57/$D$60))</f>
        <v>294.5113847486798</v>
      </c>
      <c r="H61" s="185">
        <f t="shared" si="0"/>
        <v>0.98170461582893265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313"/>
      <c r="D62" s="316"/>
      <c r="E62" s="184">
        <v>3</v>
      </c>
      <c r="F62" s="186">
        <v>138131796</v>
      </c>
      <c r="G62" s="269">
        <f>IF(ISBLANK(F62),"-",(F62/$D$50*$D$47*$B$68)*($B$57/$D$60))</f>
        <v>294.63562581260328</v>
      </c>
      <c r="H62" s="185">
        <f t="shared" si="0"/>
        <v>0.98211875270867754</v>
      </c>
      <c r="L62" s="111"/>
    </row>
    <row r="63" spans="1:12" ht="27" customHeight="1" x14ac:dyDescent="0.4">
      <c r="A63" s="123" t="s">
        <v>97</v>
      </c>
      <c r="B63" s="124">
        <v>1</v>
      </c>
      <c r="C63" s="323"/>
      <c r="D63" s="317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312" t="s">
        <v>99</v>
      </c>
      <c r="D64" s="315">
        <v>247.09</v>
      </c>
      <c r="E64" s="181">
        <v>1</v>
      </c>
      <c r="F64" s="182">
        <v>138487435</v>
      </c>
      <c r="G64" s="270">
        <f>IF(ISBLANK(F64),"-",(F64/$D$50*$D$47*$B$68)*($B$57/$D$64))</f>
        <v>293.5053271844892</v>
      </c>
      <c r="H64" s="189">
        <f t="shared" si="0"/>
        <v>0.97835109061496406</v>
      </c>
    </row>
    <row r="65" spans="1:8" ht="26.25" customHeight="1" x14ac:dyDescent="0.4">
      <c r="A65" s="123" t="s">
        <v>100</v>
      </c>
      <c r="B65" s="124">
        <v>1</v>
      </c>
      <c r="C65" s="313"/>
      <c r="D65" s="316"/>
      <c r="E65" s="184">
        <v>2</v>
      </c>
      <c r="F65" s="136">
        <v>138347939</v>
      </c>
      <c r="G65" s="271">
        <f>IF(ISBLANK(F65),"-",(F65/$D$50*$D$47*$B$68)*($B$57/$D$64))</f>
        <v>293.20968434063894</v>
      </c>
      <c r="H65" s="190">
        <f t="shared" si="0"/>
        <v>0.97736561446879644</v>
      </c>
    </row>
    <row r="66" spans="1:8" ht="26.25" customHeight="1" x14ac:dyDescent="0.4">
      <c r="A66" s="123" t="s">
        <v>101</v>
      </c>
      <c r="B66" s="124">
        <v>1</v>
      </c>
      <c r="C66" s="313"/>
      <c r="D66" s="316"/>
      <c r="E66" s="184">
        <v>3</v>
      </c>
      <c r="F66" s="136">
        <v>138855629</v>
      </c>
      <c r="G66" s="271">
        <f>IF(ISBLANK(F66),"-",(F66/$D$50*$D$47*$B$68)*($B$57/$D$64))</f>
        <v>294.28566440741031</v>
      </c>
      <c r="H66" s="190">
        <f t="shared" si="0"/>
        <v>0.98095221469136773</v>
      </c>
    </row>
    <row r="67" spans="1:8" ht="27" customHeight="1" x14ac:dyDescent="0.4">
      <c r="A67" s="123" t="s">
        <v>102</v>
      </c>
      <c r="B67" s="124">
        <v>1</v>
      </c>
      <c r="C67" s="323"/>
      <c r="D67" s="317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500</v>
      </c>
      <c r="C68" s="312" t="s">
        <v>104</v>
      </c>
      <c r="D68" s="315">
        <v>249.39</v>
      </c>
      <c r="E68" s="181">
        <v>1</v>
      </c>
      <c r="F68" s="182">
        <v>142809092</v>
      </c>
      <c r="G68" s="270">
        <f>IF(ISBLANK(F68),"-",(F68/$D$50*$D$47*$B$68)*($B$57/$D$68))</f>
        <v>299.87316862763629</v>
      </c>
      <c r="H68" s="185">
        <f t="shared" si="0"/>
        <v>0.99957722875878763</v>
      </c>
    </row>
    <row r="69" spans="1:8" ht="27" customHeight="1" x14ac:dyDescent="0.4">
      <c r="A69" s="171" t="s">
        <v>105</v>
      </c>
      <c r="B69" s="193">
        <f>(D47*B68)/B56*B57</f>
        <v>245.18895000000003</v>
      </c>
      <c r="C69" s="313"/>
      <c r="D69" s="316"/>
      <c r="E69" s="184">
        <v>2</v>
      </c>
      <c r="F69" s="136">
        <v>142873026</v>
      </c>
      <c r="G69" s="271">
        <f>IF(ISBLANK(F69),"-",(F69/$D$50*$D$47*$B$68)*($B$57/$D$68))</f>
        <v>300.00741842150126</v>
      </c>
      <c r="H69" s="185">
        <f t="shared" si="0"/>
        <v>1.0000247280716708</v>
      </c>
    </row>
    <row r="70" spans="1:8" ht="26.25" customHeight="1" x14ac:dyDescent="0.4">
      <c r="A70" s="318" t="s">
        <v>78</v>
      </c>
      <c r="B70" s="319"/>
      <c r="C70" s="313"/>
      <c r="D70" s="316"/>
      <c r="E70" s="184">
        <v>3</v>
      </c>
      <c r="F70" s="136">
        <v>142983231</v>
      </c>
      <c r="G70" s="271">
        <f>IF(ISBLANK(F70),"-",(F70/$D$50*$D$47*$B$68)*($B$57/$D$68))</f>
        <v>300.23882891564961</v>
      </c>
      <c r="H70" s="185">
        <f t="shared" si="0"/>
        <v>1.0007960963854987</v>
      </c>
    </row>
    <row r="71" spans="1:8" ht="27" customHeight="1" x14ac:dyDescent="0.4">
      <c r="A71" s="320"/>
      <c r="B71" s="321"/>
      <c r="C71" s="314"/>
      <c r="D71" s="317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296.09778335292742</v>
      </c>
      <c r="H72" s="198">
        <f>AVERAGE(H60:H71)</f>
        <v>0.98699261117642456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1.0124190690403713E-2</v>
      </c>
      <c r="H73" s="273">
        <f>STDEV(H60:H71)/H72</f>
        <v>1.0124190690403706E-2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299" t="str">
        <f>B20</f>
        <v xml:space="preserve">Abacavir Sulfate </v>
      </c>
      <c r="D76" s="299"/>
      <c r="E76" s="204" t="s">
        <v>108</v>
      </c>
      <c r="F76" s="204"/>
      <c r="G76" s="205">
        <f>H72</f>
        <v>0.98699261117642456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2" t="str">
        <f>B26</f>
        <v>Abacavir Sulfate USP</v>
      </c>
      <c r="C79" s="322"/>
    </row>
    <row r="80" spans="1:8" ht="26.25" customHeight="1" x14ac:dyDescent="0.4">
      <c r="A80" s="108" t="s">
        <v>48</v>
      </c>
      <c r="B80" s="322" t="str">
        <f>B27</f>
        <v>F1L487</v>
      </c>
      <c r="C80" s="322"/>
    </row>
    <row r="81" spans="1:12" ht="27" customHeight="1" x14ac:dyDescent="0.4">
      <c r="A81" s="108" t="s">
        <v>6</v>
      </c>
      <c r="B81" s="207">
        <f>B28</f>
        <v>99.4</v>
      </c>
    </row>
    <row r="82" spans="1:12" s="13" customFormat="1" ht="27" customHeight="1" x14ac:dyDescent="0.4">
      <c r="A82" s="108" t="s">
        <v>49</v>
      </c>
      <c r="B82" s="110">
        <v>0</v>
      </c>
      <c r="C82" s="301" t="s">
        <v>50</v>
      </c>
      <c r="D82" s="302"/>
      <c r="E82" s="302"/>
      <c r="F82" s="302"/>
      <c r="G82" s="303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572.66</v>
      </c>
      <c r="C84" s="304" t="s">
        <v>111</v>
      </c>
      <c r="D84" s="305"/>
      <c r="E84" s="305"/>
      <c r="F84" s="305"/>
      <c r="G84" s="305"/>
      <c r="H84" s="306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670.74</v>
      </c>
      <c r="C85" s="304" t="s">
        <v>112</v>
      </c>
      <c r="D85" s="305"/>
      <c r="E85" s="305"/>
      <c r="F85" s="305"/>
      <c r="G85" s="305"/>
      <c r="H85" s="306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0.8537734442555982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8" t="s">
        <v>59</v>
      </c>
      <c r="E89" s="209"/>
      <c r="F89" s="307" t="s">
        <v>60</v>
      </c>
      <c r="G89" s="308"/>
    </row>
    <row r="90" spans="1:12" ht="27" customHeight="1" x14ac:dyDescent="0.4">
      <c r="A90" s="123" t="s">
        <v>61</v>
      </c>
      <c r="B90" s="124">
        <v>1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50</v>
      </c>
      <c r="C91" s="212">
        <v>1</v>
      </c>
      <c r="D91" s="131">
        <v>0.27800000000000002</v>
      </c>
      <c r="E91" s="132">
        <f>IF(ISBLANK(D91),"-",$D$101/$D$98*D91)</f>
        <v>0.28084600996739811</v>
      </c>
      <c r="F91" s="131">
        <v>0.24579999999999999</v>
      </c>
      <c r="G91" s="133">
        <f>IF(ISBLANK(F91),"-",$D$101/$F$98*F91)</f>
        <v>0.28462677595606606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0.27879999999999999</v>
      </c>
      <c r="E92" s="137">
        <f>IF(ISBLANK(D92),"-",$D$101/$D$98*D92)</f>
        <v>0.28165419992413882</v>
      </c>
      <c r="F92" s="136">
        <v>0.2465</v>
      </c>
      <c r="G92" s="138">
        <f>IF(ISBLANK(F92),"-",$D$101/$F$98*F92)</f>
        <v>0.28543734854829245</v>
      </c>
      <c r="I92" s="309">
        <f>ABS((F96/D96*D95)-F95)/D95</f>
        <v>1.2849263114825009E-2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0.28000000000000003</v>
      </c>
      <c r="E93" s="137">
        <f>IF(ISBLANK(D93),"-",$D$101/$D$98*D93)</f>
        <v>0.28286648485924992</v>
      </c>
      <c r="F93" s="136">
        <v>0.2485</v>
      </c>
      <c r="G93" s="138">
        <f>IF(ISBLANK(F93),"-",$D$101/$F$98*F93)</f>
        <v>0.28775327024036784</v>
      </c>
      <c r="I93" s="309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0.27893333333333331</v>
      </c>
      <c r="E95" s="147">
        <f>AVERAGE(E91:E94)</f>
        <v>0.28178889825026227</v>
      </c>
      <c r="F95" s="217">
        <f>AVERAGE(F91:F94)</f>
        <v>0.24693333333333331</v>
      </c>
      <c r="G95" s="218">
        <f>AVERAGE(G91:G94)</f>
        <v>0.28593913158157541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9.7200000000000006</v>
      </c>
      <c r="E96" s="139"/>
      <c r="F96" s="151">
        <v>8.48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8.2986778781644155</v>
      </c>
      <c r="E97" s="154"/>
      <c r="F97" s="153">
        <f>F96*$B$87</f>
        <v>7.2399988072874732</v>
      </c>
    </row>
    <row r="98" spans="1:10" ht="19.5" customHeight="1" x14ac:dyDescent="0.3">
      <c r="A98" s="123" t="s">
        <v>76</v>
      </c>
      <c r="B98" s="223">
        <f>(B97/B96)*(B95/B94)*(B93/B92)*(B91/B90)*B89</f>
        <v>1250</v>
      </c>
      <c r="C98" s="221" t="s">
        <v>115</v>
      </c>
      <c r="D98" s="224">
        <f>D97*$B$83/100</f>
        <v>8.2488858108954304</v>
      </c>
      <c r="E98" s="157"/>
      <c r="F98" s="156">
        <f>F97*$B$83/100</f>
        <v>7.1965588144437493</v>
      </c>
    </row>
    <row r="99" spans="1:10" ht="19.5" customHeight="1" x14ac:dyDescent="0.3">
      <c r="A99" s="295" t="s">
        <v>78</v>
      </c>
      <c r="B99" s="310"/>
      <c r="C99" s="221" t="s">
        <v>116</v>
      </c>
      <c r="D99" s="225">
        <f>D98/$B$98</f>
        <v>6.5991086487163439E-3</v>
      </c>
      <c r="E99" s="157"/>
      <c r="F99" s="160">
        <f>F98/$B$98</f>
        <v>5.757247051554999E-3</v>
      </c>
      <c r="G99" s="226"/>
      <c r="H99" s="149"/>
    </row>
    <row r="100" spans="1:10" ht="19.5" customHeight="1" x14ac:dyDescent="0.3">
      <c r="A100" s="297"/>
      <c r="B100" s="311"/>
      <c r="C100" s="221" t="s">
        <v>80</v>
      </c>
      <c r="D100" s="227">
        <f>$B$56/$B$116</f>
        <v>6.6666666666666671E-3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8.3333333333333339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9.7605909265532791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0.28386401491591884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9.0735795812449758E-3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0.27889999999999998</v>
      </c>
      <c r="E108" s="274">
        <f t="shared" ref="E108:E113" si="1">IF(ISBLANK(D108),"-",D108/$D$103*$D$100*$B$116)</f>
        <v>294.75381028758875</v>
      </c>
      <c r="F108" s="244">
        <f t="shared" ref="F108:F113" si="2">IF(ISBLANK(D108), "-", E108/$B$56)</f>
        <v>0.98251270095862919</v>
      </c>
    </row>
    <row r="109" spans="1:10" ht="26.25" customHeight="1" x14ac:dyDescent="0.4">
      <c r="A109" s="123" t="s">
        <v>95</v>
      </c>
      <c r="B109" s="124">
        <v>50</v>
      </c>
      <c r="C109" s="242">
        <v>2</v>
      </c>
      <c r="D109" s="243">
        <v>0.28760000000000002</v>
      </c>
      <c r="E109" s="275">
        <f t="shared" si="1"/>
        <v>303.94835367052895</v>
      </c>
      <c r="F109" s="245">
        <f t="shared" si="2"/>
        <v>1.0131611789017632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0.27850000000000003</v>
      </c>
      <c r="E110" s="275">
        <f t="shared" si="1"/>
        <v>294.3310726607869</v>
      </c>
      <c r="F110" s="245">
        <f t="shared" si="2"/>
        <v>0.98110357553595628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0.26690000000000003</v>
      </c>
      <c r="E111" s="275">
        <f t="shared" si="1"/>
        <v>282.07168148353333</v>
      </c>
      <c r="F111" s="245">
        <f t="shared" si="2"/>
        <v>0.9402389382784444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0.28610000000000002</v>
      </c>
      <c r="E112" s="275">
        <f t="shared" si="1"/>
        <v>302.363087570022</v>
      </c>
      <c r="F112" s="245">
        <f t="shared" si="2"/>
        <v>1.00787695856674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0.26989999999999997</v>
      </c>
      <c r="E113" s="276">
        <f t="shared" si="1"/>
        <v>285.24221368454715</v>
      </c>
      <c r="F113" s="248">
        <f t="shared" si="2"/>
        <v>0.95080737894849054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293.78503655950112</v>
      </c>
      <c r="F115" s="251">
        <f>AVERAGE(F108:F113)</f>
        <v>0.97928345519833726</v>
      </c>
    </row>
    <row r="116" spans="1:10" ht="27" customHeight="1" x14ac:dyDescent="0.4">
      <c r="A116" s="123" t="s">
        <v>103</v>
      </c>
      <c r="B116" s="155">
        <f>(B115/B114)*(B113/B112)*(B111/B110)*(B109/B108)*B107</f>
        <v>45000</v>
      </c>
      <c r="C116" s="252"/>
      <c r="D116" s="215" t="s">
        <v>84</v>
      </c>
      <c r="E116" s="253">
        <f>STDEV(E108:E113)/E115</f>
        <v>2.9996205164066862E-2</v>
      </c>
      <c r="F116" s="253">
        <f>STDEV(F108:F113)/F115</f>
        <v>2.9996205164066848E-2</v>
      </c>
      <c r="I116" s="97"/>
    </row>
    <row r="117" spans="1:10" ht="27" customHeight="1" x14ac:dyDescent="0.4">
      <c r="A117" s="295" t="s">
        <v>78</v>
      </c>
      <c r="B117" s="296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297"/>
      <c r="B118" s="29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299" t="str">
        <f>B20</f>
        <v xml:space="preserve">Abacavir Sulfate </v>
      </c>
      <c r="D120" s="299"/>
      <c r="E120" s="204" t="s">
        <v>124</v>
      </c>
      <c r="F120" s="204"/>
      <c r="G120" s="205">
        <f>F115</f>
        <v>0.97928345519833726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00" t="s">
        <v>26</v>
      </c>
      <c r="C122" s="300"/>
      <c r="E122" s="210" t="s">
        <v>27</v>
      </c>
      <c r="F122" s="259"/>
      <c r="G122" s="300" t="s">
        <v>28</v>
      </c>
      <c r="H122" s="300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Abacavir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</cp:lastModifiedBy>
  <cp:lastPrinted>2016-06-25T14:12:15Z</cp:lastPrinted>
  <dcterms:created xsi:type="dcterms:W3CDTF">2005-07-05T10:19:27Z</dcterms:created>
  <dcterms:modified xsi:type="dcterms:W3CDTF">2016-06-26T13:03:23Z</dcterms:modified>
</cp:coreProperties>
</file>