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Martin\2016\"/>
    </mc:Choice>
  </mc:AlternateContent>
  <bookViews>
    <workbookView xWindow="480" yWindow="495" windowWidth="20775" windowHeight="9405" activeTab="2"/>
  </bookViews>
  <sheets>
    <sheet name="SST" sheetId="1" r:id="rId1"/>
    <sheet name="Uniformity" sheetId="2" r:id="rId2"/>
    <sheet name="Abacavir" sheetId="3" r:id="rId3"/>
  </sheets>
  <externalReferences>
    <externalReference r:id="rId4"/>
  </externalReferences>
  <definedNames>
    <definedName name="_xlnm.Print_Area" localSheetId="1">Uniformity!$A$1:$F$54</definedName>
  </definedNames>
  <calcPr calcId="152511"/>
</workbook>
</file>

<file path=xl/calcChain.xml><?xml version="1.0" encoding="utf-8"?>
<calcChain xmlns="http://schemas.openxmlformats.org/spreadsheetml/2006/main">
  <c r="B21" i="1" l="1"/>
  <c r="B20" i="1"/>
  <c r="B42" i="1"/>
  <c r="B41" i="1"/>
  <c r="B40" i="1"/>
  <c r="B39" i="1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D48" i="3"/>
  <c r="B45" i="3"/>
  <c r="F42" i="3"/>
  <c r="I39" i="3" s="1"/>
  <c r="D42" i="3"/>
  <c r="B34" i="3"/>
  <c r="D44" i="3" s="1"/>
  <c r="B30" i="3"/>
  <c r="C49" i="2"/>
  <c r="C46" i="2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F44" i="3"/>
  <c r="D45" i="3"/>
  <c r="E39" i="3" s="1"/>
  <c r="D102" i="3"/>
  <c r="B57" i="3"/>
  <c r="B69" i="3" s="1"/>
  <c r="D50" i="2"/>
  <c r="D49" i="2"/>
  <c r="B49" i="2"/>
  <c r="D42" i="2"/>
  <c r="D40" i="2"/>
  <c r="D38" i="2"/>
  <c r="D36" i="2"/>
  <c r="D34" i="2"/>
  <c r="D32" i="2"/>
  <c r="D30" i="2"/>
  <c r="D28" i="2"/>
  <c r="D26" i="2"/>
  <c r="D24" i="2"/>
  <c r="C50" i="2"/>
  <c r="F45" i="3"/>
  <c r="G39" i="3" s="1"/>
  <c r="D49" i="3"/>
  <c r="E41" i="3"/>
  <c r="F98" i="3"/>
  <c r="F99" i="3" s="1"/>
  <c r="D97" i="3"/>
  <c r="D98" i="3" s="1"/>
  <c r="D99" i="3" s="1"/>
  <c r="D46" i="3" l="1"/>
  <c r="E93" i="3"/>
  <c r="E40" i="3"/>
  <c r="E91" i="3"/>
  <c r="E38" i="3"/>
  <c r="F46" i="3"/>
  <c r="G40" i="3"/>
  <c r="G41" i="3"/>
  <c r="G91" i="3"/>
  <c r="G93" i="3"/>
  <c r="G38" i="3"/>
  <c r="G92" i="3"/>
  <c r="E94" i="3"/>
  <c r="E92" i="3"/>
  <c r="G94" i="3"/>
  <c r="E42" i="3"/>
  <c r="D105" i="3" l="1"/>
  <c r="D103" i="3"/>
  <c r="E112" i="3" s="1"/>
  <c r="F112" i="3" s="1"/>
  <c r="D52" i="3"/>
  <c r="D50" i="3"/>
  <c r="G69" i="3" s="1"/>
  <c r="H69" i="3" s="1"/>
  <c r="E95" i="3"/>
  <c r="G42" i="3"/>
  <c r="G95" i="3"/>
  <c r="G71" i="3"/>
  <c r="H71" i="3" s="1"/>
  <c r="E113" i="3" l="1"/>
  <c r="F113" i="3" s="1"/>
  <c r="G70" i="3"/>
  <c r="H70" i="3" s="1"/>
  <c r="G60" i="3"/>
  <c r="G66" i="3"/>
  <c r="H66" i="3" s="1"/>
  <c r="E109" i="3"/>
  <c r="F109" i="3" s="1"/>
  <c r="D104" i="3"/>
  <c r="E111" i="3"/>
  <c r="F111" i="3" s="1"/>
  <c r="E108" i="3"/>
  <c r="F108" i="3" s="1"/>
  <c r="E110" i="3"/>
  <c r="F110" i="3" s="1"/>
  <c r="G64" i="3"/>
  <c r="H64" i="3" s="1"/>
  <c r="G62" i="3"/>
  <c r="H62" i="3" s="1"/>
  <c r="G68" i="3"/>
  <c r="H68" i="3" s="1"/>
  <c r="G61" i="3"/>
  <c r="H61" i="3" s="1"/>
  <c r="G65" i="3"/>
  <c r="H65" i="3" s="1"/>
  <c r="D51" i="3"/>
  <c r="G63" i="3"/>
  <c r="H63" i="3" s="1"/>
  <c r="G67" i="3"/>
  <c r="H67" i="3" s="1"/>
  <c r="H60" i="3"/>
  <c r="E115" i="3" l="1"/>
  <c r="E116" i="3" s="1"/>
  <c r="E117" i="3"/>
  <c r="G74" i="3"/>
  <c r="G72" i="3"/>
  <c r="G73" i="3" s="1"/>
  <c r="H72" i="3"/>
  <c r="H74" i="3"/>
  <c r="F117" i="3"/>
  <c r="F115" i="3"/>
  <c r="G120" i="3" l="1"/>
  <c r="F116" i="3"/>
  <c r="G76" i="3"/>
  <c r="H73" i="3"/>
</calcChain>
</file>

<file path=xl/sharedStrings.xml><?xml version="1.0" encoding="utf-8"?>
<sst xmlns="http://schemas.openxmlformats.org/spreadsheetml/2006/main" count="232" uniqueCount="128">
  <si>
    <t>HPLC System Suitability Report</t>
  </si>
  <si>
    <t>Analysis Data</t>
  </si>
  <si>
    <t>Assay</t>
  </si>
  <si>
    <t>Sample(s)</t>
  </si>
  <si>
    <t>Reference Substance:</t>
  </si>
  <si>
    <t>ABACAVIR TABLETS USP 300 MG</t>
  </si>
  <si>
    <t>% age Purity:</t>
  </si>
  <si>
    <t>NDQD201606985</t>
  </si>
  <si>
    <t>Weight (mg):</t>
  </si>
  <si>
    <t xml:space="preserve">Abacavir Sulfate </t>
  </si>
  <si>
    <t>Standard Conc (mg/mL):</t>
  </si>
  <si>
    <t>Each film coated tablet contains: Abacavir Sulfate USP equivalent to Abacavir 300 mg.</t>
  </si>
  <si>
    <t>2016-06-08 15:38:51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</si>
  <si>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</si>
  <si>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</si>
  <si>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</si>
  <si>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</si>
  <si>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</si>
  <si>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</si>
  <si>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</si>
  <si>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</si>
  <si>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</si>
  <si>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</si>
  <si>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</si>
  <si>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</si>
  <si>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</si>
  <si>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</si>
  <si>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</si>
  <si>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</si>
  <si>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</si>
  <si>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</si>
  <si>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</si>
  <si>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</si>
  <si>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</si>
  <si>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</si>
  <si>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</si>
  <si>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</si>
  <si>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</si>
  <si>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</si>
  <si>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</si>
  <si>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</si>
  <si>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</si>
  <si>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</si>
  <si>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</si>
  <si>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</si>
  <si>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</si>
  <si>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</si>
  <si>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</si>
  <si>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</si>
  <si>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</si>
  <si>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</si>
  <si>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</si>
  <si>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</si>
  <si>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</si>
  <si>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</si>
  <si>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</si>
  <si>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</si>
  <si>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</si>
  <si>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</si>
  <si>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</si>
  <si>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</si>
  <si>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</si>
  <si>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</si>
  <si>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</si>
  <si>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</si>
  <si>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</si>
  <si>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</si>
  <si>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</si>
  <si>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</si>
  <si>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</si>
  <si>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</si>
  <si>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</si>
  <si>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</si>
  <si>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</si>
  <si>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</si>
  <si>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</si>
  <si>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</si>
  <si>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</si>
  <si>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</si>
  <si>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</si>
  <si>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</si>
  <si>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</si>
  <si>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</si>
  <si>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</si>
  <si>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</si>
  <si>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</si>
  <si>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</si>
  <si>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</si>
  <si>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</si>
  <si>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</si>
  <si>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</si>
  <si>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</si>
  <si>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</si>
  <si>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</si>
  <si>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</si>
  <si>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</si>
  <si>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</si>
  <si>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</si>
  <si>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</si>
  <si>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</si>
  <si>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</si>
  <si>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</si>
  <si>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</si>
  <si>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</si>
  <si>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</si>
  <si>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</si>
  <si>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</si>
  <si>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</si>
  <si>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</si>
  <si>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</si>
  <si>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</si>
  <si>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</si>
  <si>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</si>
  <si>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</si>
  <si>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</si>
  <si>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</si>
  <si>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</si>
  <si>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</si>
  <si>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</si>
  <si>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</si>
  <si>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</si>
  <si>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</si>
  <si>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</si>
  <si>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</si>
  <si>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</si>
  <si>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Abacavir Sulfate USP </t>
  </si>
  <si>
    <t>Abacavir Sulfate USP</t>
  </si>
  <si>
    <t>F1L487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</si>
</sst>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2" fontId="5" fillId="2" borderId="0" xfId="0" applyNumberFormat="1" applyFont="1" applyFill="1" applyAlignment="1">
      <alignment horizontal="left"/>
    </xf>
    <xf numFmtId="171" fontId="5" fillId="2" borderId="0" xfId="0" applyNumberFormat="1" applyFont="1" applyFill="1" applyAlignment="1">
      <alignment horizontal="center"/>
    </xf>
    <xf numFmtId="173" fontId="7" fillId="3" borderId="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60698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bacavir"/>
    </sheetNames>
    <sheetDataSet>
      <sheetData sheetId="0"/>
      <sheetData sheetId="1"/>
      <sheetData sheetId="2">
        <row r="43">
          <cell r="D43">
            <v>19.03</v>
          </cell>
        </row>
        <row r="46">
          <cell r="D46">
            <v>0.16149824792318931</v>
          </cell>
        </row>
        <row r="96">
          <cell r="D96">
            <v>9.7200000000000006</v>
          </cell>
        </row>
        <row r="99">
          <cell r="D99">
            <v>6.5991086487163439E-3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workbookViewId="0">
      <selection activeCell="G29" sqref="G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80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f>[1]Abacavir!D43</f>
        <v>19.03</v>
      </c>
      <c r="C20" s="10"/>
      <c r="D20" s="10"/>
      <c r="E20" s="10"/>
    </row>
    <row r="21" spans="1:6" ht="16.5" customHeight="1" x14ac:dyDescent="0.3">
      <c r="A21" s="7" t="s">
        <v>10</v>
      </c>
      <c r="B21" s="281">
        <f>[1]Abacavir!D46</f>
        <v>0.16149824792318931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3" t="s">
        <v>13</v>
      </c>
      <c r="B23" s="14" t="s">
        <v>14</v>
      </c>
      <c r="C23" s="13" t="s">
        <v>15</v>
      </c>
      <c r="D23" s="13" t="s">
        <v>16</v>
      </c>
      <c r="E23" s="15" t="s">
        <v>17</v>
      </c>
    </row>
    <row r="24" spans="1:6" ht="16.5" customHeight="1" x14ac:dyDescent="0.3">
      <c r="A24" s="16">
        <v>1</v>
      </c>
      <c r="B24" s="17">
        <v>123340882</v>
      </c>
      <c r="C24" s="17">
        <v>34517.599999999999</v>
      </c>
      <c r="D24" s="18">
        <v>2</v>
      </c>
      <c r="E24" s="19">
        <v>13.9</v>
      </c>
    </row>
    <row r="25" spans="1:6" ht="16.5" customHeight="1" x14ac:dyDescent="0.3">
      <c r="A25" s="16">
        <v>2</v>
      </c>
      <c r="B25" s="17">
        <v>123960424</v>
      </c>
      <c r="C25" s="17">
        <v>34482.5</v>
      </c>
      <c r="D25" s="18">
        <v>2</v>
      </c>
      <c r="E25" s="18">
        <v>13.9</v>
      </c>
    </row>
    <row r="26" spans="1:6" ht="16.5" customHeight="1" x14ac:dyDescent="0.3">
      <c r="A26" s="16">
        <v>3</v>
      </c>
      <c r="B26" s="17">
        <v>123969373</v>
      </c>
      <c r="C26" s="17">
        <v>34465.199999999997</v>
      </c>
      <c r="D26" s="18">
        <v>2</v>
      </c>
      <c r="E26" s="18">
        <v>13.9</v>
      </c>
    </row>
    <row r="27" spans="1:6" ht="16.5" customHeight="1" x14ac:dyDescent="0.3">
      <c r="A27" s="16">
        <v>4</v>
      </c>
      <c r="B27" s="17">
        <v>124179600</v>
      </c>
      <c r="C27" s="17">
        <v>34540.1</v>
      </c>
      <c r="D27" s="18">
        <v>2</v>
      </c>
      <c r="E27" s="18">
        <v>13.8</v>
      </c>
    </row>
    <row r="28" spans="1:6" ht="16.5" customHeight="1" x14ac:dyDescent="0.3">
      <c r="A28" s="16">
        <v>5</v>
      </c>
      <c r="B28" s="17">
        <v>125270811</v>
      </c>
      <c r="C28" s="17">
        <v>34414.300000000003</v>
      </c>
      <c r="D28" s="18">
        <v>2</v>
      </c>
      <c r="E28" s="18">
        <v>13.8</v>
      </c>
    </row>
    <row r="29" spans="1:6" ht="16.5" customHeight="1" x14ac:dyDescent="0.3">
      <c r="A29" s="16">
        <v>6</v>
      </c>
      <c r="B29" s="20">
        <v>125189633</v>
      </c>
      <c r="C29" s="282">
        <v>34495</v>
      </c>
      <c r="D29" s="21">
        <v>2</v>
      </c>
      <c r="E29" s="21">
        <v>13.8</v>
      </c>
    </row>
    <row r="30" spans="1:6" ht="16.5" customHeight="1" x14ac:dyDescent="0.3">
      <c r="A30" s="22" t="s">
        <v>18</v>
      </c>
      <c r="B30" s="23">
        <f>AVERAGE(B24:B29)</f>
        <v>124318453.83333333</v>
      </c>
      <c r="C30" s="24">
        <f>AVERAGE(C24:C29)</f>
        <v>34485.783333333333</v>
      </c>
      <c r="D30" s="25">
        <f>AVERAGE(D24:D29)</f>
        <v>2</v>
      </c>
      <c r="E30" s="25">
        <f>AVERAGE(E24:E29)</f>
        <v>13.85</v>
      </c>
    </row>
    <row r="31" spans="1:6" ht="16.5" customHeight="1" x14ac:dyDescent="0.3">
      <c r="A31" s="26" t="s">
        <v>19</v>
      </c>
      <c r="B31" s="27">
        <f>(STDEV(B24:B29)/B30)</f>
        <v>6.116408336398549E-3</v>
      </c>
      <c r="C31" s="28"/>
      <c r="D31" s="28"/>
      <c r="E31" s="29"/>
      <c r="F31" s="2"/>
    </row>
    <row r="32" spans="1:6" s="2" customFormat="1" ht="16.5" customHeight="1" x14ac:dyDescent="0.3">
      <c r="A32" s="30" t="s">
        <v>20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25">
      <c r="A33" s="10"/>
      <c r="B33" s="10"/>
      <c r="C33" s="10"/>
      <c r="D33" s="10"/>
      <c r="E33" s="35"/>
    </row>
    <row r="34" spans="1:6" s="2" customFormat="1" ht="16.5" customHeight="1" x14ac:dyDescent="0.3">
      <c r="A34" s="11" t="s">
        <v>21</v>
      </c>
      <c r="B34" s="36" t="s">
        <v>22</v>
      </c>
      <c r="C34" s="37"/>
      <c r="D34" s="37"/>
      <c r="E34" s="38"/>
    </row>
    <row r="35" spans="1:6" ht="16.5" customHeight="1" x14ac:dyDescent="0.3">
      <c r="A35" s="11"/>
      <c r="B35" s="36" t="s">
        <v>23</v>
      </c>
      <c r="C35" s="37"/>
      <c r="D35" s="37"/>
      <c r="E35" s="38"/>
      <c r="F35" s="2"/>
    </row>
    <row r="36" spans="1:6" ht="16.5" customHeight="1" x14ac:dyDescent="0.3">
      <c r="A36" s="11"/>
      <c r="B36" s="39" t="s">
        <v>24</v>
      </c>
      <c r="C36" s="37"/>
      <c r="D36" s="37"/>
      <c r="E36" s="37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280" t="str">
        <f>B18</f>
        <v xml:space="preserve">Abacavir Sulfate USP </v>
      </c>
      <c r="C39" s="10"/>
      <c r="D39" s="10"/>
      <c r="E39" s="10"/>
    </row>
    <row r="40" spans="1:6" ht="16.5" customHeight="1" x14ac:dyDescent="0.3">
      <c r="A40" s="11" t="s">
        <v>6</v>
      </c>
      <c r="B40" s="12">
        <f>B19</f>
        <v>99.4</v>
      </c>
      <c r="C40" s="10"/>
      <c r="D40" s="10"/>
      <c r="E40" s="10"/>
    </row>
    <row r="41" spans="1:6" ht="16.5" customHeight="1" x14ac:dyDescent="0.3">
      <c r="A41" s="7" t="s">
        <v>8</v>
      </c>
      <c r="B41" s="12">
        <f>[1]Abacavir!D96</f>
        <v>9.7200000000000006</v>
      </c>
      <c r="C41" s="10"/>
      <c r="D41" s="10"/>
      <c r="E41" s="10"/>
    </row>
    <row r="42" spans="1:6" ht="16.5" customHeight="1" x14ac:dyDescent="0.3">
      <c r="A42" s="7" t="s">
        <v>10</v>
      </c>
      <c r="B42" s="281">
        <f>[1]Abacavir!D99</f>
        <v>6.5991086487163439E-3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3" t="s">
        <v>13</v>
      </c>
      <c r="B44" s="14" t="s">
        <v>14</v>
      </c>
      <c r="C44" s="13" t="s">
        <v>15</v>
      </c>
      <c r="D44" s="13" t="s">
        <v>16</v>
      </c>
      <c r="E44" s="15" t="s">
        <v>17</v>
      </c>
    </row>
    <row r="45" spans="1:6" ht="16.5" customHeight="1" x14ac:dyDescent="0.3">
      <c r="A45" s="16">
        <v>1</v>
      </c>
      <c r="B45" s="17"/>
      <c r="C45" s="17"/>
      <c r="D45" s="18"/>
      <c r="E45" s="19"/>
    </row>
    <row r="46" spans="1:6" ht="16.5" customHeight="1" x14ac:dyDescent="0.3">
      <c r="A46" s="16">
        <v>2</v>
      </c>
      <c r="B46" s="17"/>
      <c r="C46" s="17"/>
      <c r="D46" s="18"/>
      <c r="E46" s="18"/>
    </row>
    <row r="47" spans="1:6" ht="16.5" customHeight="1" x14ac:dyDescent="0.3">
      <c r="A47" s="16">
        <v>3</v>
      </c>
      <c r="B47" s="17"/>
      <c r="C47" s="17"/>
      <c r="D47" s="18"/>
      <c r="E47" s="18"/>
    </row>
    <row r="48" spans="1:6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18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19</v>
      </c>
      <c r="B52" s="27" t="e">
        <f>(STDEV(B45:B50)/B51)</f>
        <v>#DIV/0!</v>
      </c>
      <c r="C52" s="28"/>
      <c r="D52" s="28"/>
      <c r="E52" s="29"/>
      <c r="F52" s="2"/>
    </row>
    <row r="53" spans="1:7" s="2" customFormat="1" ht="16.5" customHeight="1" x14ac:dyDescent="0.3">
      <c r="A53" s="30" t="s">
        <v>20</v>
      </c>
      <c r="B53" s="31">
        <f>COUNT(B45:B50)</f>
        <v>0</v>
      </c>
      <c r="C53" s="32"/>
      <c r="D53" s="33"/>
      <c r="E53" s="34"/>
    </row>
    <row r="54" spans="1:7" s="2" customFormat="1" ht="15.75" customHeight="1" x14ac:dyDescent="0.25">
      <c r="A54" s="10"/>
      <c r="B54" s="10"/>
      <c r="C54" s="10"/>
      <c r="D54" s="10"/>
      <c r="E54" s="35"/>
    </row>
    <row r="55" spans="1:7" s="2" customFormat="1" ht="16.5" customHeight="1" x14ac:dyDescent="0.3">
      <c r="A55" s="11" t="s">
        <v>21</v>
      </c>
      <c r="B55" s="36" t="s">
        <v>22</v>
      </c>
      <c r="C55" s="37"/>
      <c r="D55" s="37"/>
      <c r="E55" s="38"/>
    </row>
    <row r="56" spans="1:7" ht="16.5" customHeight="1" x14ac:dyDescent="0.3">
      <c r="A56" s="11"/>
      <c r="B56" s="36" t="s">
        <v>23</v>
      </c>
      <c r="C56" s="37"/>
      <c r="D56" s="37"/>
      <c r="E56" s="38"/>
      <c r="F56" s="2"/>
    </row>
    <row r="57" spans="1:7" ht="16.5" customHeight="1" x14ac:dyDescent="0.3">
      <c r="A57" s="11"/>
      <c r="B57" s="39" t="s">
        <v>24</v>
      </c>
      <c r="C57" s="37"/>
      <c r="D57" s="38"/>
      <c r="E57" s="37"/>
    </row>
    <row r="58" spans="1:7" ht="14.25" customHeight="1" x14ac:dyDescent="0.25">
      <c r="A58" s="40"/>
      <c r="B58" s="41"/>
      <c r="D58" s="42"/>
      <c r="F58" s="43"/>
      <c r="G58" s="43"/>
    </row>
    <row r="59" spans="1:7" ht="15" customHeight="1" x14ac:dyDescent="0.3">
      <c r="B59" s="284" t="s">
        <v>26</v>
      </c>
      <c r="C59" s="284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7"/>
      <c r="C60" s="47"/>
      <c r="E60" s="47"/>
      <c r="F60" s="2"/>
      <c r="G60" s="48"/>
    </row>
    <row r="61" spans="1:7" ht="15" customHeight="1" x14ac:dyDescent="0.3">
      <c r="A61" s="46" t="s">
        <v>30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31</v>
      </c>
      <c r="B11" s="289"/>
      <c r="C11" s="289"/>
      <c r="D11" s="289"/>
      <c r="E11" s="289"/>
      <c r="F11" s="290"/>
      <c r="G11" s="90"/>
    </row>
    <row r="12" spans="1:7" ht="16.5" customHeight="1" x14ac:dyDescent="0.3">
      <c r="A12" s="287" t="s">
        <v>32</v>
      </c>
      <c r="B12" s="287"/>
      <c r="C12" s="287"/>
      <c r="D12" s="287"/>
      <c r="E12" s="287"/>
      <c r="F12" s="287"/>
      <c r="G12" s="89"/>
    </row>
    <row r="14" spans="1:7" ht="16.5" customHeight="1" x14ac:dyDescent="0.3">
      <c r="A14" s="292" t="s">
        <v>33</v>
      </c>
      <c r="B14" s="292"/>
      <c r="C14" s="59" t="s">
        <v>5</v>
      </c>
    </row>
    <row r="15" spans="1:7" ht="16.5" customHeight="1" x14ac:dyDescent="0.3">
      <c r="A15" s="292" t="s">
        <v>34</v>
      </c>
      <c r="B15" s="292"/>
      <c r="C15" s="59" t="s">
        <v>7</v>
      </c>
    </row>
    <row r="16" spans="1:7" ht="16.5" customHeight="1" x14ac:dyDescent="0.3">
      <c r="A16" s="292" t="s">
        <v>35</v>
      </c>
      <c r="B16" s="292"/>
      <c r="C16" s="59" t="s">
        <v>9</v>
      </c>
    </row>
    <row r="17" spans="1:5" ht="16.5" customHeight="1" x14ac:dyDescent="0.3">
      <c r="A17" s="292" t="s">
        <v>36</v>
      </c>
      <c r="B17" s="292"/>
      <c r="C17" s="59" t="s">
        <v>11</v>
      </c>
    </row>
    <row r="18" spans="1:5" ht="16.5" customHeight="1" x14ac:dyDescent="0.3">
      <c r="A18" s="292" t="s">
        <v>37</v>
      </c>
      <c r="B18" s="292"/>
      <c r="C18" s="96" t="s">
        <v>12</v>
      </c>
    </row>
    <row r="19" spans="1:5" ht="16.5" customHeight="1" x14ac:dyDescent="0.3">
      <c r="A19" s="292" t="s">
        <v>38</v>
      </c>
      <c r="B19" s="292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287" t="s">
        <v>1</v>
      </c>
      <c r="B21" s="287"/>
      <c r="C21" s="58" t="s">
        <v>39</v>
      </c>
      <c r="D21" s="65"/>
    </row>
    <row r="22" spans="1:5" ht="15.75" customHeight="1" x14ac:dyDescent="0.3">
      <c r="A22" s="291"/>
      <c r="B22" s="291"/>
      <c r="C22" s="56"/>
      <c r="D22" s="291"/>
      <c r="E22" s="291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806.59</v>
      </c>
      <c r="D24" s="86">
        <f t="shared" ref="D24:D43" si="0">(C24-$C$46)/$C$46</f>
        <v>-1.0380338396209835E-2</v>
      </c>
      <c r="E24" s="52"/>
    </row>
    <row r="25" spans="1:5" ht="15.75" customHeight="1" x14ac:dyDescent="0.3">
      <c r="C25" s="94">
        <v>815.99</v>
      </c>
      <c r="D25" s="87">
        <f t="shared" si="0"/>
        <v>1.1526893118892051E-3</v>
      </c>
      <c r="E25" s="52"/>
    </row>
    <row r="26" spans="1:5" ht="15.75" customHeight="1" x14ac:dyDescent="0.3">
      <c r="C26" s="94">
        <v>809.39</v>
      </c>
      <c r="D26" s="87">
        <f t="shared" si="0"/>
        <v>-6.944968440605913E-3</v>
      </c>
      <c r="E26" s="52"/>
    </row>
    <row r="27" spans="1:5" ht="15.75" customHeight="1" x14ac:dyDescent="0.3">
      <c r="C27" s="94">
        <v>807.53</v>
      </c>
      <c r="D27" s="87">
        <f t="shared" si="0"/>
        <v>-9.2270356254000006E-3</v>
      </c>
      <c r="E27" s="52"/>
    </row>
    <row r="28" spans="1:5" ht="15.75" customHeight="1" x14ac:dyDescent="0.3">
      <c r="C28" s="94">
        <v>824.59</v>
      </c>
      <c r="D28" s="87">
        <f t="shared" si="0"/>
        <v>1.1704182746958593E-2</v>
      </c>
      <c r="E28" s="52"/>
    </row>
    <row r="29" spans="1:5" ht="15.75" customHeight="1" x14ac:dyDescent="0.3">
      <c r="C29" s="94">
        <v>818.43</v>
      </c>
      <c r="D29" s="87">
        <f t="shared" si="0"/>
        <v>4.1463688446297421E-3</v>
      </c>
      <c r="E29" s="52"/>
    </row>
    <row r="30" spans="1:5" ht="15.75" customHeight="1" x14ac:dyDescent="0.3">
      <c r="C30" s="94">
        <v>838.21</v>
      </c>
      <c r="D30" s="87">
        <f t="shared" si="0"/>
        <v>2.8414803745289374E-2</v>
      </c>
      <c r="E30" s="52"/>
    </row>
    <row r="31" spans="1:5" ht="15.75" customHeight="1" x14ac:dyDescent="0.3">
      <c r="C31" s="94">
        <v>824.2</v>
      </c>
      <c r="D31" s="87">
        <f t="shared" si="0"/>
        <v>1.1225684788856627E-2</v>
      </c>
      <c r="E31" s="52"/>
    </row>
    <row r="32" spans="1:5" ht="15.75" customHeight="1" x14ac:dyDescent="0.3">
      <c r="C32" s="94">
        <v>807.04</v>
      </c>
      <c r="D32" s="87">
        <f t="shared" si="0"/>
        <v>-9.8282253676307083E-3</v>
      </c>
      <c r="E32" s="52"/>
    </row>
    <row r="33" spans="1:7" ht="15.75" customHeight="1" x14ac:dyDescent="0.3">
      <c r="C33" s="94">
        <v>810.09</v>
      </c>
      <c r="D33" s="87">
        <f t="shared" si="0"/>
        <v>-6.0861259517048629E-3</v>
      </c>
      <c r="E33" s="52"/>
    </row>
    <row r="34" spans="1:7" ht="15.75" customHeight="1" x14ac:dyDescent="0.3">
      <c r="C34" s="94">
        <v>807.37</v>
      </c>
      <c r="D34" s="87">
        <f t="shared" si="0"/>
        <v>-9.4233424800059026E-3</v>
      </c>
      <c r="E34" s="52"/>
    </row>
    <row r="35" spans="1:7" ht="15.75" customHeight="1" x14ac:dyDescent="0.3">
      <c r="C35" s="94">
        <v>807.04</v>
      </c>
      <c r="D35" s="87">
        <f t="shared" si="0"/>
        <v>-9.8282253676307083E-3</v>
      </c>
      <c r="E35" s="52"/>
    </row>
    <row r="36" spans="1:7" ht="15.75" customHeight="1" x14ac:dyDescent="0.3">
      <c r="C36" s="94">
        <v>826.52</v>
      </c>
      <c r="D36" s="87">
        <f t="shared" si="0"/>
        <v>1.4072134180642702E-2</v>
      </c>
      <c r="E36" s="52"/>
    </row>
    <row r="37" spans="1:7" ht="15.75" customHeight="1" x14ac:dyDescent="0.3">
      <c r="C37" s="94">
        <v>806.66</v>
      </c>
      <c r="D37" s="87">
        <f t="shared" si="0"/>
        <v>-1.0294454147319814E-2</v>
      </c>
      <c r="E37" s="52"/>
    </row>
    <row r="38" spans="1:7" ht="15.75" customHeight="1" x14ac:dyDescent="0.3">
      <c r="C38" s="94">
        <v>825.3</v>
      </c>
      <c r="D38" s="87">
        <f t="shared" si="0"/>
        <v>1.2575294414272364E-2</v>
      </c>
      <c r="E38" s="52"/>
    </row>
    <row r="39" spans="1:7" ht="15.75" customHeight="1" x14ac:dyDescent="0.3">
      <c r="C39" s="94">
        <v>818.65</v>
      </c>
      <c r="D39" s="87">
        <f t="shared" si="0"/>
        <v>4.4162907697129451E-3</v>
      </c>
      <c r="E39" s="52"/>
    </row>
    <row r="40" spans="1:7" ht="15.75" customHeight="1" x14ac:dyDescent="0.3">
      <c r="C40" s="94">
        <v>814.78</v>
      </c>
      <c r="D40" s="87">
        <f t="shared" si="0"/>
        <v>-3.3188127606827264E-4</v>
      </c>
      <c r="E40" s="52"/>
    </row>
    <row r="41" spans="1:7" ht="15.75" customHeight="1" x14ac:dyDescent="0.3">
      <c r="C41" s="94">
        <v>813.26</v>
      </c>
      <c r="D41" s="87">
        <f t="shared" si="0"/>
        <v>-2.1967963948246955E-3</v>
      </c>
      <c r="E41" s="52"/>
    </row>
    <row r="42" spans="1:7" ht="15.75" customHeight="1" x14ac:dyDescent="0.3">
      <c r="C42" s="94">
        <v>817.01</v>
      </c>
      <c r="D42" s="87">
        <f t="shared" si="0"/>
        <v>2.4041455100020604E-3</v>
      </c>
      <c r="E42" s="52"/>
    </row>
    <row r="43" spans="1:7" ht="16.5" customHeight="1" x14ac:dyDescent="0.3">
      <c r="C43" s="95">
        <v>802.36</v>
      </c>
      <c r="D43" s="88">
        <f t="shared" si="0"/>
        <v>-1.5570200864854437E-2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16301.010000000002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815.05050000000006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285">
        <f>C46</f>
        <v>815.05050000000006</v>
      </c>
      <c r="C49" s="92">
        <f>-IF(C46&lt;=80,10%,IF(C46&lt;250,7.5%,5%))</f>
        <v>-0.05</v>
      </c>
      <c r="D49" s="80">
        <f>IF(C46&lt;=80,C46*0.9,IF(C46&lt;250,C46*0.925,C46*0.95))</f>
        <v>774.29797500000006</v>
      </c>
    </row>
    <row r="50" spans="1:6" ht="17.25" customHeight="1" x14ac:dyDescent="0.3">
      <c r="B50" s="286"/>
      <c r="C50" s="93">
        <f>IF(C46&lt;=80, 10%, IF(C46&lt;250, 7.5%, 5%))</f>
        <v>0.05</v>
      </c>
      <c r="D50" s="80">
        <f>IF(C46&lt;=80, C46*1.1, IF(C46&lt;250, C46*1.075, C46*1.05))</f>
        <v>855.80302500000005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4" zoomScale="55" zoomScaleNormal="40" zoomScalePageLayoutView="55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3" t="s">
        <v>45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46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x14ac:dyDescent="0.3">
      <c r="A15" s="97"/>
    </row>
    <row r="16" spans="1:9" ht="19.5" customHeight="1" x14ac:dyDescent="0.3">
      <c r="A16" s="327" t="s">
        <v>31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47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99" t="s">
        <v>33</v>
      </c>
      <c r="B18" s="326" t="s">
        <v>5</v>
      </c>
      <c r="C18" s="326"/>
      <c r="D18" s="266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79">
        <v>29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331" t="s">
        <v>9</v>
      </c>
      <c r="C20" s="331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331" t="s">
        <v>11</v>
      </c>
      <c r="C21" s="331"/>
      <c r="D21" s="331"/>
      <c r="E21" s="331"/>
      <c r="F21" s="331"/>
      <c r="G21" s="331"/>
      <c r="H21" s="331"/>
      <c r="I21" s="103"/>
    </row>
    <row r="22" spans="1:14" ht="26.25" customHeight="1" x14ac:dyDescent="0.4">
      <c r="A22" s="99" t="s">
        <v>37</v>
      </c>
      <c r="B22" s="104">
        <v>42530.632094907407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>
        <v>42545.632094907407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26" t="s">
        <v>126</v>
      </c>
      <c r="C26" s="326"/>
    </row>
    <row r="27" spans="1:14" ht="26.25" customHeight="1" x14ac:dyDescent="0.4">
      <c r="A27" s="108" t="s">
        <v>48</v>
      </c>
      <c r="B27" s="324" t="s">
        <v>127</v>
      </c>
      <c r="C27" s="324"/>
    </row>
    <row r="28" spans="1:14" ht="27" customHeight="1" x14ac:dyDescent="0.4">
      <c r="A28" s="108" t="s">
        <v>6</v>
      </c>
      <c r="B28" s="109">
        <v>99.4</v>
      </c>
    </row>
    <row r="29" spans="1:14" s="13" customFormat="1" ht="27" customHeight="1" x14ac:dyDescent="0.4">
      <c r="A29" s="108" t="s">
        <v>49</v>
      </c>
      <c r="B29" s="110">
        <v>0</v>
      </c>
      <c r="C29" s="301" t="s">
        <v>50</v>
      </c>
      <c r="D29" s="302"/>
      <c r="E29" s="302"/>
      <c r="F29" s="302"/>
      <c r="G29" s="303"/>
      <c r="I29" s="111"/>
      <c r="J29" s="111"/>
      <c r="K29" s="111"/>
      <c r="L29" s="111"/>
    </row>
    <row r="30" spans="1:14" s="13" customFormat="1" ht="19.5" customHeight="1" x14ac:dyDescent="0.3">
      <c r="A30" s="108" t="s">
        <v>51</v>
      </c>
      <c r="B30" s="112">
        <f>B28-B29</f>
        <v>99.4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3" customFormat="1" ht="27" customHeight="1" x14ac:dyDescent="0.4">
      <c r="A31" s="108" t="s">
        <v>52</v>
      </c>
      <c r="B31" s="115">
        <v>572.66</v>
      </c>
      <c r="C31" s="304" t="s">
        <v>53</v>
      </c>
      <c r="D31" s="305"/>
      <c r="E31" s="305"/>
      <c r="F31" s="305"/>
      <c r="G31" s="305"/>
      <c r="H31" s="306"/>
      <c r="I31" s="111"/>
      <c r="J31" s="111"/>
      <c r="K31" s="111"/>
      <c r="L31" s="111"/>
    </row>
    <row r="32" spans="1:14" s="13" customFormat="1" ht="27" customHeight="1" x14ac:dyDescent="0.4">
      <c r="A32" s="108" t="s">
        <v>54</v>
      </c>
      <c r="B32" s="115">
        <v>670.74</v>
      </c>
      <c r="C32" s="304" t="s">
        <v>55</v>
      </c>
      <c r="D32" s="305"/>
      <c r="E32" s="305"/>
      <c r="F32" s="305"/>
      <c r="G32" s="305"/>
      <c r="H32" s="306"/>
      <c r="I32" s="111"/>
      <c r="J32" s="111"/>
      <c r="K32" s="111"/>
      <c r="L32" s="116"/>
      <c r="M32" s="116"/>
      <c r="N32" s="117"/>
    </row>
    <row r="33" spans="1:14" s="13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3" customFormat="1" ht="18.75" x14ac:dyDescent="0.3">
      <c r="A34" s="108" t="s">
        <v>56</v>
      </c>
      <c r="B34" s="120">
        <f>B31/B32</f>
        <v>0.8537734442555982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3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3" customFormat="1" ht="27" customHeight="1" x14ac:dyDescent="0.4">
      <c r="A36" s="121" t="s">
        <v>58</v>
      </c>
      <c r="B36" s="122">
        <v>20</v>
      </c>
      <c r="C36" s="98"/>
      <c r="D36" s="307" t="s">
        <v>59</v>
      </c>
      <c r="E36" s="325"/>
      <c r="F36" s="307" t="s">
        <v>60</v>
      </c>
      <c r="G36" s="308"/>
      <c r="J36" s="111"/>
      <c r="K36" s="111"/>
      <c r="L36" s="116"/>
      <c r="M36" s="116"/>
      <c r="N36" s="117"/>
    </row>
    <row r="37" spans="1:14" s="13" customFormat="1" ht="27" customHeight="1" x14ac:dyDescent="0.4">
      <c r="A37" s="123" t="s">
        <v>61</v>
      </c>
      <c r="B37" s="124">
        <v>10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3" customFormat="1" ht="26.25" customHeight="1" x14ac:dyDescent="0.4">
      <c r="A38" s="123" t="s">
        <v>66</v>
      </c>
      <c r="B38" s="124">
        <v>50</v>
      </c>
      <c r="C38" s="130">
        <v>1</v>
      </c>
      <c r="D38" s="131">
        <v>125553970</v>
      </c>
      <c r="E38" s="132">
        <f>IF(ISBLANK(D38),"-",$D$48/$D$45*D38)</f>
        <v>139937831.46643621</v>
      </c>
      <c r="F38" s="131">
        <v>121535852</v>
      </c>
      <c r="G38" s="133">
        <f>IF(ISBLANK(F38),"-",$D$48/$F$45*F38)</f>
        <v>140862956.20990336</v>
      </c>
      <c r="I38" s="134"/>
      <c r="J38" s="111"/>
      <c r="K38" s="111"/>
      <c r="L38" s="116"/>
      <c r="M38" s="116"/>
      <c r="N38" s="117"/>
    </row>
    <row r="39" spans="1:14" s="13" customFormat="1" ht="26.25" customHeight="1" x14ac:dyDescent="0.4">
      <c r="A39" s="123" t="s">
        <v>67</v>
      </c>
      <c r="B39" s="124">
        <v>1</v>
      </c>
      <c r="C39" s="135">
        <v>2</v>
      </c>
      <c r="D39" s="136">
        <v>125623795</v>
      </c>
      <c r="E39" s="137">
        <f>IF(ISBLANK(D39),"-",$D$48/$D$45*D39)</f>
        <v>140015655.84014693</v>
      </c>
      <c r="F39" s="136">
        <v>121623544</v>
      </c>
      <c r="G39" s="138">
        <f>IF(ISBLANK(F39),"-",$D$48/$F$45*F39)</f>
        <v>140964593.3330459</v>
      </c>
      <c r="I39" s="309">
        <f>ABS((F43/D43*D42)-F42)/D42</f>
        <v>5.952021874035901E-3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125730777</v>
      </c>
      <c r="E40" s="137">
        <f>IF(ISBLANK(D40),"-",$D$48/$D$45*D40)</f>
        <v>140134894.03775981</v>
      </c>
      <c r="F40" s="136">
        <v>121534120</v>
      </c>
      <c r="G40" s="138">
        <f>IF(ISBLANK(F40),"-",$D$48/$F$45*F40)</f>
        <v>140860948.78052232</v>
      </c>
      <c r="I40" s="309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125636180.66666667</v>
      </c>
      <c r="E42" s="147">
        <f>AVERAGE(E38:E41)</f>
        <v>140029460.44811431</v>
      </c>
      <c r="F42" s="146">
        <f>AVERAGE(F38:F41)</f>
        <v>121564505.33333333</v>
      </c>
      <c r="G42" s="148">
        <f>AVERAGE(G38:G41)</f>
        <v>140896166.10782385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19.03</v>
      </c>
      <c r="E43" s="139"/>
      <c r="F43" s="151">
        <v>18.3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16.247308644184034</v>
      </c>
      <c r="E44" s="154"/>
      <c r="F44" s="153">
        <f>F43*$B$34</f>
        <v>15.624054029877447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16.149824792318931</v>
      </c>
      <c r="E45" s="157"/>
      <c r="F45" s="156">
        <f>F44*$B$30/100</f>
        <v>15.530309705698182</v>
      </c>
      <c r="H45" s="149"/>
    </row>
    <row r="46" spans="1:14" ht="19.5" customHeight="1" x14ac:dyDescent="0.3">
      <c r="A46" s="295" t="s">
        <v>78</v>
      </c>
      <c r="B46" s="296"/>
      <c r="C46" s="152" t="s">
        <v>79</v>
      </c>
      <c r="D46" s="158">
        <f>D45/$B$45</f>
        <v>0.16149824792318931</v>
      </c>
      <c r="E46" s="159"/>
      <c r="F46" s="160">
        <f>F45/$B$45</f>
        <v>0.15530309705698181</v>
      </c>
      <c r="H46" s="149"/>
    </row>
    <row r="47" spans="1:14" ht="27" customHeight="1" x14ac:dyDescent="0.4">
      <c r="A47" s="297"/>
      <c r="B47" s="298"/>
      <c r="C47" s="161" t="s">
        <v>80</v>
      </c>
      <c r="D47" s="162">
        <v>0.18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18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21.082876401355083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140462813.27796909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3.4194929626774266E-3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>Each film coated tablet contains: Abacavir Sulfate USP equivalent to Abacavir 300 mg.</v>
      </c>
    </row>
    <row r="56" spans="1:12" ht="26.25" customHeight="1" x14ac:dyDescent="0.4">
      <c r="A56" s="176" t="s">
        <v>87</v>
      </c>
      <c r="B56" s="177">
        <v>300</v>
      </c>
      <c r="C56" s="98" t="str">
        <f>B20</f>
        <v xml:space="preserve">Abacavir Sulfate </v>
      </c>
      <c r="H56" s="178"/>
    </row>
    <row r="57" spans="1:12" ht="18.75" x14ac:dyDescent="0.3">
      <c r="A57" s="175" t="s">
        <v>88</v>
      </c>
      <c r="B57" s="267">
        <f>Uniformity!C46</f>
        <v>815.05050000000006</v>
      </c>
      <c r="H57" s="178"/>
    </row>
    <row r="58" spans="1:12" ht="19.5" customHeight="1" x14ac:dyDescent="0.3">
      <c r="H58" s="178"/>
    </row>
    <row r="59" spans="1:12" s="13" customFormat="1" ht="27" customHeight="1" x14ac:dyDescent="0.4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3" customFormat="1" ht="26.25" customHeight="1" x14ac:dyDescent="0.4">
      <c r="A60" s="123" t="s">
        <v>93</v>
      </c>
      <c r="B60" s="124">
        <v>10</v>
      </c>
      <c r="C60" s="312" t="s">
        <v>94</v>
      </c>
      <c r="D60" s="315">
        <v>243.62</v>
      </c>
      <c r="E60" s="181">
        <v>1</v>
      </c>
      <c r="F60" s="182">
        <v>136352790</v>
      </c>
      <c r="G60" s="268">
        <f>IF(ISBLANK(F60),"-",(F60/$D$50*$D$47*$B$68)*($B$57/$D$60))</f>
        <v>292.29188294692744</v>
      </c>
      <c r="H60" s="183">
        <f t="shared" ref="H60:H71" si="0">IF(ISBLANK(F60),"-",G60/$B$56)</f>
        <v>0.97430627648975809</v>
      </c>
      <c r="L60" s="111"/>
    </row>
    <row r="61" spans="1:12" s="13" customFormat="1" ht="26.25" customHeight="1" x14ac:dyDescent="0.4">
      <c r="A61" s="123" t="s">
        <v>95</v>
      </c>
      <c r="B61" s="124">
        <v>50</v>
      </c>
      <c r="C61" s="313"/>
      <c r="D61" s="316"/>
      <c r="E61" s="184">
        <v>2</v>
      </c>
      <c r="F61" s="136">
        <v>136138559</v>
      </c>
      <c r="G61" s="269">
        <f>IF(ISBLANK(F61),"-",(F61/$D$50*$D$47*$B$68)*($B$57/$D$60))</f>
        <v>291.8326478819493</v>
      </c>
      <c r="H61" s="185">
        <f t="shared" si="0"/>
        <v>0.97277549293983101</v>
      </c>
      <c r="L61" s="111"/>
    </row>
    <row r="62" spans="1:12" s="13" customFormat="1" ht="26.25" customHeight="1" x14ac:dyDescent="0.4">
      <c r="A62" s="123" t="s">
        <v>96</v>
      </c>
      <c r="B62" s="124">
        <v>1</v>
      </c>
      <c r="C62" s="313"/>
      <c r="D62" s="316"/>
      <c r="E62" s="184">
        <v>3</v>
      </c>
      <c r="F62" s="186">
        <v>136308241</v>
      </c>
      <c r="G62" s="269">
        <f>IF(ISBLANK(F62),"-",(F62/$D$50*$D$47*$B$68)*($B$57/$D$60))</f>
        <v>292.19638573639435</v>
      </c>
      <c r="H62" s="185">
        <f t="shared" si="0"/>
        <v>0.97398795245464787</v>
      </c>
      <c r="L62" s="111"/>
    </row>
    <row r="63" spans="1:12" ht="27" customHeight="1" x14ac:dyDescent="0.4">
      <c r="A63" s="123" t="s">
        <v>97</v>
      </c>
      <c r="B63" s="124">
        <v>1</v>
      </c>
      <c r="C63" s="323"/>
      <c r="D63" s="317"/>
      <c r="E63" s="187">
        <v>4</v>
      </c>
      <c r="F63" s="188"/>
      <c r="G63" s="269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312" t="s">
        <v>99</v>
      </c>
      <c r="D64" s="315">
        <v>254.26</v>
      </c>
      <c r="E64" s="181">
        <v>1</v>
      </c>
      <c r="F64" s="182">
        <v>139465739</v>
      </c>
      <c r="G64" s="270">
        <f>IF(ISBLANK(F64),"-",(F64/$D$50*$D$47*$B$68)*($B$57/$D$64))</f>
        <v>286.45417401730816</v>
      </c>
      <c r="H64" s="189">
        <f t="shared" si="0"/>
        <v>0.9548472467243605</v>
      </c>
    </row>
    <row r="65" spans="1:8" ht="26.25" customHeight="1" x14ac:dyDescent="0.4">
      <c r="A65" s="123" t="s">
        <v>100</v>
      </c>
      <c r="B65" s="124">
        <v>1</v>
      </c>
      <c r="C65" s="313"/>
      <c r="D65" s="316"/>
      <c r="E65" s="184">
        <v>2</v>
      </c>
      <c r="F65" s="136">
        <v>139814379</v>
      </c>
      <c r="G65" s="271">
        <f>IF(ISBLANK(F65),"-",(F65/$D$50*$D$47*$B$68)*($B$57/$D$64))</f>
        <v>287.17025944406231</v>
      </c>
      <c r="H65" s="190">
        <f t="shared" si="0"/>
        <v>0.95723419814687438</v>
      </c>
    </row>
    <row r="66" spans="1:8" ht="26.25" customHeight="1" x14ac:dyDescent="0.4">
      <c r="A66" s="123" t="s">
        <v>101</v>
      </c>
      <c r="B66" s="124">
        <v>1</v>
      </c>
      <c r="C66" s="313"/>
      <c r="D66" s="316"/>
      <c r="E66" s="184">
        <v>3</v>
      </c>
      <c r="F66" s="136">
        <v>139818875</v>
      </c>
      <c r="G66" s="271">
        <f>IF(ISBLANK(F66),"-",(F66/$D$50*$D$47*$B$68)*($B$57/$D$64))</f>
        <v>287.17949395553165</v>
      </c>
      <c r="H66" s="190">
        <f t="shared" si="0"/>
        <v>0.95726497985177217</v>
      </c>
    </row>
    <row r="67" spans="1:8" ht="27" customHeight="1" x14ac:dyDescent="0.4">
      <c r="A67" s="123" t="s">
        <v>102</v>
      </c>
      <c r="B67" s="124">
        <v>1</v>
      </c>
      <c r="C67" s="323"/>
      <c r="D67" s="317"/>
      <c r="E67" s="187">
        <v>4</v>
      </c>
      <c r="F67" s="188"/>
      <c r="G67" s="272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103</v>
      </c>
      <c r="B68" s="192">
        <f>(B67/B66)*(B65/B64)*(B63/B62)*(B61/B60)*B59</f>
        <v>500</v>
      </c>
      <c r="C68" s="312" t="s">
        <v>104</v>
      </c>
      <c r="D68" s="315">
        <v>246.51</v>
      </c>
      <c r="E68" s="181">
        <v>1</v>
      </c>
      <c r="F68" s="182">
        <v>140721304</v>
      </c>
      <c r="G68" s="270">
        <f>IF(ISBLANK(F68),"-",(F68/$D$50*$D$47*$B$68)*($B$57/$D$68))</f>
        <v>298.11990509913414</v>
      </c>
      <c r="H68" s="185">
        <f t="shared" si="0"/>
        <v>0.9937330169971138</v>
      </c>
    </row>
    <row r="69" spans="1:8" ht="27" customHeight="1" x14ac:dyDescent="0.4">
      <c r="A69" s="171" t="s">
        <v>105</v>
      </c>
      <c r="B69" s="193">
        <f>(D47*B68)/B56*B57</f>
        <v>244.51515000000001</v>
      </c>
      <c r="C69" s="313"/>
      <c r="D69" s="316"/>
      <c r="E69" s="184">
        <v>2</v>
      </c>
      <c r="F69" s="136">
        <v>140868528</v>
      </c>
      <c r="G69" s="271">
        <f>IF(ISBLANK(F69),"-",(F69/$D$50*$D$47*$B$68)*($B$57/$D$68))</f>
        <v>298.43180104993002</v>
      </c>
      <c r="H69" s="185">
        <f t="shared" si="0"/>
        <v>0.99477267016643334</v>
      </c>
    </row>
    <row r="70" spans="1:8" ht="26.25" customHeight="1" x14ac:dyDescent="0.4">
      <c r="A70" s="318" t="s">
        <v>78</v>
      </c>
      <c r="B70" s="319"/>
      <c r="C70" s="313"/>
      <c r="D70" s="316"/>
      <c r="E70" s="184">
        <v>3</v>
      </c>
      <c r="F70" s="136">
        <v>140971317</v>
      </c>
      <c r="G70" s="271">
        <f>IF(ISBLANK(F70),"-",(F70/$D$50*$D$47*$B$68)*($B$57/$D$68))</f>
        <v>298.64956087771867</v>
      </c>
      <c r="H70" s="185">
        <f t="shared" si="0"/>
        <v>0.99549853625906226</v>
      </c>
    </row>
    <row r="71" spans="1:8" ht="27" customHeight="1" x14ac:dyDescent="0.4">
      <c r="A71" s="320"/>
      <c r="B71" s="321"/>
      <c r="C71" s="314"/>
      <c r="D71" s="317"/>
      <c r="E71" s="187">
        <v>4</v>
      </c>
      <c r="F71" s="188"/>
      <c r="G71" s="272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7" t="s">
        <v>71</v>
      </c>
      <c r="G72" s="277">
        <f>AVERAGE(G60:G71)</f>
        <v>292.48067900099511</v>
      </c>
      <c r="H72" s="198">
        <f>AVERAGE(H60:H71)</f>
        <v>0.97493559666998364</v>
      </c>
    </row>
    <row r="73" spans="1:8" ht="26.25" customHeight="1" x14ac:dyDescent="0.4">
      <c r="C73" s="195"/>
      <c r="D73" s="195"/>
      <c r="E73" s="195"/>
      <c r="F73" s="199" t="s">
        <v>84</v>
      </c>
      <c r="G73" s="273">
        <f>STDEV(G60:G71)/G72</f>
        <v>1.7027920819021169E-2</v>
      </c>
      <c r="H73" s="273">
        <f>STDEV(H60:H71)/H72</f>
        <v>1.7027920819021172E-2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20</v>
      </c>
      <c r="G74" s="202">
        <f>COUNT(G60:G71)</f>
        <v>9</v>
      </c>
      <c r="H74" s="202">
        <f>COUNT(H60:H71)</f>
        <v>9</v>
      </c>
    </row>
    <row r="76" spans="1:8" ht="26.25" customHeight="1" x14ac:dyDescent="0.4">
      <c r="A76" s="107" t="s">
        <v>106</v>
      </c>
      <c r="B76" s="203" t="s">
        <v>107</v>
      </c>
      <c r="C76" s="299" t="str">
        <f>B20</f>
        <v xml:space="preserve">Abacavir Sulfate </v>
      </c>
      <c r="D76" s="299"/>
      <c r="E76" s="204" t="s">
        <v>108</v>
      </c>
      <c r="F76" s="204"/>
      <c r="G76" s="205">
        <f>H72</f>
        <v>0.97493559666998364</v>
      </c>
      <c r="H76" s="206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22" t="str">
        <f>B26</f>
        <v>Abacavir Sulfate USP</v>
      </c>
      <c r="C79" s="322"/>
    </row>
    <row r="80" spans="1:8" ht="26.25" customHeight="1" x14ac:dyDescent="0.4">
      <c r="A80" s="108" t="s">
        <v>48</v>
      </c>
      <c r="B80" s="322" t="str">
        <f>B27</f>
        <v>F1L487</v>
      </c>
      <c r="C80" s="322"/>
    </row>
    <row r="81" spans="1:12" ht="27" customHeight="1" x14ac:dyDescent="0.4">
      <c r="A81" s="108" t="s">
        <v>6</v>
      </c>
      <c r="B81" s="207">
        <f>B28</f>
        <v>99.4</v>
      </c>
    </row>
    <row r="82" spans="1:12" s="13" customFormat="1" ht="27" customHeight="1" x14ac:dyDescent="0.4">
      <c r="A82" s="108" t="s">
        <v>49</v>
      </c>
      <c r="B82" s="110">
        <v>0</v>
      </c>
      <c r="C82" s="301" t="s">
        <v>50</v>
      </c>
      <c r="D82" s="302"/>
      <c r="E82" s="302"/>
      <c r="F82" s="302"/>
      <c r="G82" s="303"/>
      <c r="I82" s="111"/>
      <c r="J82" s="111"/>
      <c r="K82" s="111"/>
      <c r="L82" s="111"/>
    </row>
    <row r="83" spans="1:12" s="13" customFormat="1" ht="19.5" customHeight="1" x14ac:dyDescent="0.3">
      <c r="A83" s="108" t="s">
        <v>51</v>
      </c>
      <c r="B83" s="112">
        <f>B81-B82</f>
        <v>99.4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3" customFormat="1" ht="27" customHeight="1" x14ac:dyDescent="0.4">
      <c r="A84" s="108" t="s">
        <v>52</v>
      </c>
      <c r="B84" s="115">
        <v>572.66</v>
      </c>
      <c r="C84" s="304" t="s">
        <v>111</v>
      </c>
      <c r="D84" s="305"/>
      <c r="E84" s="305"/>
      <c r="F84" s="305"/>
      <c r="G84" s="305"/>
      <c r="H84" s="306"/>
      <c r="I84" s="111"/>
      <c r="J84" s="111"/>
      <c r="K84" s="111"/>
      <c r="L84" s="111"/>
    </row>
    <row r="85" spans="1:12" s="13" customFormat="1" ht="27" customHeight="1" x14ac:dyDescent="0.4">
      <c r="A85" s="108" t="s">
        <v>54</v>
      </c>
      <c r="B85" s="115">
        <v>670.74</v>
      </c>
      <c r="C85" s="304" t="s">
        <v>112</v>
      </c>
      <c r="D85" s="305"/>
      <c r="E85" s="305"/>
      <c r="F85" s="305"/>
      <c r="G85" s="305"/>
      <c r="H85" s="306"/>
      <c r="I85" s="111"/>
      <c r="J85" s="111"/>
      <c r="K85" s="111"/>
      <c r="L85" s="111"/>
    </row>
    <row r="86" spans="1:12" s="13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3" customFormat="1" ht="18.75" x14ac:dyDescent="0.3">
      <c r="A87" s="108" t="s">
        <v>56</v>
      </c>
      <c r="B87" s="120">
        <f>B84/B85</f>
        <v>0.8537734442555982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25</v>
      </c>
      <c r="D89" s="208" t="s">
        <v>59</v>
      </c>
      <c r="E89" s="209"/>
      <c r="F89" s="307" t="s">
        <v>60</v>
      </c>
      <c r="G89" s="308"/>
    </row>
    <row r="90" spans="1:12" ht="27" customHeight="1" x14ac:dyDescent="0.4">
      <c r="A90" s="123" t="s">
        <v>61</v>
      </c>
      <c r="B90" s="124">
        <v>1</v>
      </c>
      <c r="C90" s="210" t="s">
        <v>62</v>
      </c>
      <c r="D90" s="126" t="s">
        <v>63</v>
      </c>
      <c r="E90" s="127" t="s">
        <v>64</v>
      </c>
      <c r="F90" s="126" t="s">
        <v>63</v>
      </c>
      <c r="G90" s="211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50</v>
      </c>
      <c r="C91" s="212">
        <v>1</v>
      </c>
      <c r="D91" s="131">
        <v>0.27800000000000002</v>
      </c>
      <c r="E91" s="132">
        <f>IF(ISBLANK(D91),"-",$D$101/$D$98*D91)</f>
        <v>0.28084600996739811</v>
      </c>
      <c r="F91" s="131">
        <v>0.24579999999999999</v>
      </c>
      <c r="G91" s="133">
        <f>IF(ISBLANK(F91),"-",$D$101/$F$98*F91)</f>
        <v>0.28462677595606606</v>
      </c>
      <c r="I91" s="134"/>
    </row>
    <row r="92" spans="1:12" ht="26.25" customHeight="1" x14ac:dyDescent="0.4">
      <c r="A92" s="123" t="s">
        <v>67</v>
      </c>
      <c r="B92" s="124">
        <v>1</v>
      </c>
      <c r="C92" s="196">
        <v>2</v>
      </c>
      <c r="D92" s="136">
        <v>0.27879999999999999</v>
      </c>
      <c r="E92" s="137">
        <f>IF(ISBLANK(D92),"-",$D$101/$D$98*D92)</f>
        <v>0.28165419992413882</v>
      </c>
      <c r="F92" s="136">
        <v>0.2465</v>
      </c>
      <c r="G92" s="138">
        <f>IF(ISBLANK(F92),"-",$D$101/$F$98*F92)</f>
        <v>0.28543734854829245</v>
      </c>
      <c r="I92" s="309">
        <f>ABS((F96/D96*D95)-F95)/D95</f>
        <v>1.2849263114825009E-2</v>
      </c>
    </row>
    <row r="93" spans="1:12" ht="26.25" customHeight="1" x14ac:dyDescent="0.4">
      <c r="A93" s="123" t="s">
        <v>68</v>
      </c>
      <c r="B93" s="124">
        <v>1</v>
      </c>
      <c r="C93" s="196">
        <v>3</v>
      </c>
      <c r="D93" s="136">
        <v>0.28000000000000003</v>
      </c>
      <c r="E93" s="137">
        <f>IF(ISBLANK(D93),"-",$D$101/$D$98*D93)</f>
        <v>0.28286648485924992</v>
      </c>
      <c r="F93" s="136">
        <v>0.2485</v>
      </c>
      <c r="G93" s="138">
        <f>IF(ISBLANK(F93),"-",$D$101/$F$98*F93)</f>
        <v>0.28775327024036784</v>
      </c>
      <c r="I93" s="309"/>
    </row>
    <row r="94" spans="1:12" ht="27" customHeight="1" x14ac:dyDescent="0.4">
      <c r="A94" s="123" t="s">
        <v>69</v>
      </c>
      <c r="B94" s="124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15" t="s">
        <v>71</v>
      </c>
      <c r="D95" s="216">
        <f>AVERAGE(D91:D94)</f>
        <v>0.27893333333333331</v>
      </c>
      <c r="E95" s="147">
        <f>AVERAGE(E91:E94)</f>
        <v>0.28178889825026227</v>
      </c>
      <c r="F95" s="217">
        <f>AVERAGE(F91:F94)</f>
        <v>0.24693333333333331</v>
      </c>
      <c r="G95" s="218">
        <f>AVERAGE(G91:G94)</f>
        <v>0.28593913158157541</v>
      </c>
    </row>
    <row r="96" spans="1:12" ht="26.25" customHeight="1" x14ac:dyDescent="0.4">
      <c r="A96" s="123" t="s">
        <v>72</v>
      </c>
      <c r="B96" s="109">
        <v>1</v>
      </c>
      <c r="C96" s="219" t="s">
        <v>113</v>
      </c>
      <c r="D96" s="220">
        <v>9.7200000000000006</v>
      </c>
      <c r="E96" s="139"/>
      <c r="F96" s="151">
        <v>8.48</v>
      </c>
    </row>
    <row r="97" spans="1:10" ht="26.25" customHeight="1" x14ac:dyDescent="0.4">
      <c r="A97" s="123" t="s">
        <v>74</v>
      </c>
      <c r="B97" s="109">
        <v>1</v>
      </c>
      <c r="C97" s="221" t="s">
        <v>114</v>
      </c>
      <c r="D97" s="222">
        <f>D96*$B$87</f>
        <v>8.2986778781644155</v>
      </c>
      <c r="E97" s="154"/>
      <c r="F97" s="153">
        <f>F96*$B$87</f>
        <v>7.2399988072874732</v>
      </c>
    </row>
    <row r="98" spans="1:10" ht="19.5" customHeight="1" x14ac:dyDescent="0.3">
      <c r="A98" s="123" t="s">
        <v>76</v>
      </c>
      <c r="B98" s="223">
        <f>(B97/B96)*(B95/B94)*(B93/B92)*(B91/B90)*B89</f>
        <v>1250</v>
      </c>
      <c r="C98" s="221" t="s">
        <v>115</v>
      </c>
      <c r="D98" s="224">
        <f>D97*$B$83/100</f>
        <v>8.2488858108954304</v>
      </c>
      <c r="E98" s="157"/>
      <c r="F98" s="156">
        <f>F97*$B$83/100</f>
        <v>7.1965588144437493</v>
      </c>
    </row>
    <row r="99" spans="1:10" ht="19.5" customHeight="1" x14ac:dyDescent="0.3">
      <c r="A99" s="295" t="s">
        <v>78</v>
      </c>
      <c r="B99" s="310"/>
      <c r="C99" s="221" t="s">
        <v>116</v>
      </c>
      <c r="D99" s="225">
        <f>D98/$B$98</f>
        <v>6.5991086487163439E-3</v>
      </c>
      <c r="E99" s="157"/>
      <c r="F99" s="160">
        <f>F98/$B$98</f>
        <v>5.757247051554999E-3</v>
      </c>
      <c r="G99" s="226"/>
      <c r="H99" s="149"/>
    </row>
    <row r="100" spans="1:10" ht="19.5" customHeight="1" x14ac:dyDescent="0.3">
      <c r="A100" s="297"/>
      <c r="B100" s="311"/>
      <c r="C100" s="221" t="s">
        <v>80</v>
      </c>
      <c r="D100" s="227">
        <f>$B$56/$B$116</f>
        <v>6.6666666666666671E-3</v>
      </c>
      <c r="F100" s="165"/>
      <c r="G100" s="228"/>
      <c r="H100" s="149"/>
    </row>
    <row r="101" spans="1:10" ht="18.75" x14ac:dyDescent="0.3">
      <c r="C101" s="221" t="s">
        <v>81</v>
      </c>
      <c r="D101" s="222">
        <f>D100*$B$98</f>
        <v>8.3333333333333339</v>
      </c>
      <c r="F101" s="165"/>
      <c r="G101" s="226"/>
      <c r="H101" s="149"/>
    </row>
    <row r="102" spans="1:10" ht="19.5" customHeight="1" x14ac:dyDescent="0.3">
      <c r="C102" s="229" t="s">
        <v>82</v>
      </c>
      <c r="D102" s="230">
        <f>D101/B34</f>
        <v>9.7605909265532791</v>
      </c>
      <c r="F102" s="169"/>
      <c r="G102" s="226"/>
      <c r="H102" s="149"/>
      <c r="J102" s="231"/>
    </row>
    <row r="103" spans="1:10" ht="18.75" x14ac:dyDescent="0.3">
      <c r="C103" s="232" t="s">
        <v>117</v>
      </c>
      <c r="D103" s="233">
        <f>AVERAGE(E91:E94,G91:G94)</f>
        <v>0.28386401491591884</v>
      </c>
      <c r="F103" s="169"/>
      <c r="G103" s="234"/>
      <c r="H103" s="149"/>
      <c r="J103" s="235"/>
    </row>
    <row r="104" spans="1:10" ht="18.75" x14ac:dyDescent="0.3">
      <c r="C104" s="199" t="s">
        <v>84</v>
      </c>
      <c r="D104" s="236">
        <f>STDEV(E91:E94,G91:G94)/D103</f>
        <v>9.0735795812449758E-3</v>
      </c>
      <c r="F104" s="169"/>
      <c r="G104" s="226"/>
      <c r="H104" s="149"/>
      <c r="J104" s="235"/>
    </row>
    <row r="105" spans="1:10" ht="19.5" customHeight="1" x14ac:dyDescent="0.3">
      <c r="C105" s="201" t="s">
        <v>20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118</v>
      </c>
      <c r="B107" s="122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3" t="s">
        <v>122</v>
      </c>
      <c r="B108" s="124">
        <v>1</v>
      </c>
      <c r="C108" s="242">
        <v>1</v>
      </c>
      <c r="D108" s="243">
        <v>0.27210000000000001</v>
      </c>
      <c r="E108" s="274">
        <f t="shared" ref="E108:E113" si="1">IF(ISBLANK(D108),"-",D108/$D$103*$D$100*$B$116)</f>
        <v>287.56727063195734</v>
      </c>
      <c r="F108" s="244">
        <f t="shared" ref="F108:F113" si="2">IF(ISBLANK(D108), "-", E108/$B$56)</f>
        <v>0.95855756877319109</v>
      </c>
    </row>
    <row r="109" spans="1:10" ht="26.25" customHeight="1" x14ac:dyDescent="0.4">
      <c r="A109" s="123" t="s">
        <v>95</v>
      </c>
      <c r="B109" s="124">
        <v>50</v>
      </c>
      <c r="C109" s="242">
        <v>2</v>
      </c>
      <c r="D109" s="243">
        <v>0.28060000000000002</v>
      </c>
      <c r="E109" s="275">
        <f t="shared" si="1"/>
        <v>296.55044520149664</v>
      </c>
      <c r="F109" s="245">
        <f t="shared" si="2"/>
        <v>0.98850148400498883</v>
      </c>
    </row>
    <row r="110" spans="1:10" ht="26.25" customHeight="1" x14ac:dyDescent="0.4">
      <c r="A110" s="123" t="s">
        <v>96</v>
      </c>
      <c r="B110" s="124">
        <v>1</v>
      </c>
      <c r="C110" s="242">
        <v>3</v>
      </c>
      <c r="D110" s="243">
        <v>0.29949999999999999</v>
      </c>
      <c r="E110" s="275">
        <f t="shared" si="1"/>
        <v>316.52479806788392</v>
      </c>
      <c r="F110" s="245">
        <f t="shared" si="2"/>
        <v>1.0550826602262797</v>
      </c>
    </row>
    <row r="111" spans="1:10" ht="26.25" customHeight="1" x14ac:dyDescent="0.4">
      <c r="A111" s="123" t="s">
        <v>97</v>
      </c>
      <c r="B111" s="124">
        <v>1</v>
      </c>
      <c r="C111" s="242">
        <v>4</v>
      </c>
      <c r="D111" s="243">
        <v>0.26379999999999998</v>
      </c>
      <c r="E111" s="275">
        <f t="shared" si="1"/>
        <v>278.79546487581899</v>
      </c>
      <c r="F111" s="245">
        <f t="shared" si="2"/>
        <v>0.92931821625272992</v>
      </c>
    </row>
    <row r="112" spans="1:10" ht="26.25" customHeight="1" x14ac:dyDescent="0.4">
      <c r="A112" s="123" t="s">
        <v>98</v>
      </c>
      <c r="B112" s="124">
        <v>1</v>
      </c>
      <c r="C112" s="242">
        <v>5</v>
      </c>
      <c r="D112" s="243">
        <v>0.29270000000000002</v>
      </c>
      <c r="E112" s="275">
        <f t="shared" si="1"/>
        <v>309.33825841225251</v>
      </c>
      <c r="F112" s="245">
        <f t="shared" si="2"/>
        <v>1.0311275280408416</v>
      </c>
    </row>
    <row r="113" spans="1:10" ht="26.25" customHeight="1" x14ac:dyDescent="0.4">
      <c r="A113" s="123" t="s">
        <v>100</v>
      </c>
      <c r="B113" s="124">
        <v>1</v>
      </c>
      <c r="C113" s="246">
        <v>6</v>
      </c>
      <c r="D113" s="247">
        <v>0.27879999999999999</v>
      </c>
      <c r="E113" s="276">
        <f t="shared" si="1"/>
        <v>294.6481258808883</v>
      </c>
      <c r="F113" s="248">
        <f t="shared" si="2"/>
        <v>0.98216041960296097</v>
      </c>
    </row>
    <row r="114" spans="1:10" ht="26.25" customHeight="1" x14ac:dyDescent="0.4">
      <c r="A114" s="123" t="s">
        <v>101</v>
      </c>
      <c r="B114" s="124">
        <v>1</v>
      </c>
      <c r="C114" s="242"/>
      <c r="D114" s="196"/>
      <c r="E114" s="97"/>
      <c r="F114" s="249"/>
    </row>
    <row r="115" spans="1:10" ht="26.25" customHeight="1" x14ac:dyDescent="0.4">
      <c r="A115" s="123" t="s">
        <v>102</v>
      </c>
      <c r="B115" s="124">
        <v>1</v>
      </c>
      <c r="C115" s="242"/>
      <c r="D115" s="250" t="s">
        <v>71</v>
      </c>
      <c r="E115" s="278">
        <f>AVERAGE(E108:E113)</f>
        <v>297.23739384504961</v>
      </c>
      <c r="F115" s="251">
        <f>AVERAGE(F108:F113)</f>
        <v>0.99079131281683208</v>
      </c>
    </row>
    <row r="116" spans="1:10" ht="27" customHeight="1" x14ac:dyDescent="0.4">
      <c r="A116" s="123" t="s">
        <v>103</v>
      </c>
      <c r="B116" s="155">
        <f>(B115/B114)*(B113/B112)*(B111/B110)*(B109/B108)*B107</f>
        <v>45000</v>
      </c>
      <c r="C116" s="252"/>
      <c r="D116" s="215" t="s">
        <v>84</v>
      </c>
      <c r="E116" s="253">
        <f>STDEV(E108:E113)/E115</f>
        <v>4.65985365106917E-2</v>
      </c>
      <c r="F116" s="253">
        <f>STDEV(F108:F113)/F115</f>
        <v>4.6598536510691693E-2</v>
      </c>
      <c r="I116" s="97"/>
    </row>
    <row r="117" spans="1:10" ht="27" customHeight="1" x14ac:dyDescent="0.4">
      <c r="A117" s="295" t="s">
        <v>78</v>
      </c>
      <c r="B117" s="296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7"/>
      <c r="J117" s="235"/>
    </row>
    <row r="118" spans="1:10" ht="19.5" customHeight="1" x14ac:dyDescent="0.3">
      <c r="A118" s="297"/>
      <c r="B118" s="298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5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106</v>
      </c>
      <c r="B120" s="203" t="s">
        <v>123</v>
      </c>
      <c r="C120" s="299" t="str">
        <f>B20</f>
        <v xml:space="preserve">Abacavir Sulfate </v>
      </c>
      <c r="D120" s="299"/>
      <c r="E120" s="204" t="s">
        <v>124</v>
      </c>
      <c r="F120" s="204"/>
      <c r="G120" s="205">
        <f>F115</f>
        <v>0.99079131281683208</v>
      </c>
      <c r="H120" s="97"/>
      <c r="I120" s="97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300" t="s">
        <v>26</v>
      </c>
      <c r="C122" s="300"/>
      <c r="E122" s="210" t="s">
        <v>27</v>
      </c>
      <c r="F122" s="259"/>
      <c r="G122" s="300" t="s">
        <v>28</v>
      </c>
      <c r="H122" s="300"/>
    </row>
    <row r="123" spans="1:10" ht="69.95" customHeight="1" x14ac:dyDescent="0.3">
      <c r="A123" s="260" t="s">
        <v>29</v>
      </c>
      <c r="B123" s="261"/>
      <c r="C123" s="261"/>
      <c r="E123" s="261"/>
      <c r="F123" s="97"/>
      <c r="G123" s="262"/>
      <c r="H123" s="262"/>
    </row>
    <row r="124" spans="1:10" ht="69.95" customHeight="1" x14ac:dyDescent="0.3">
      <c r="A124" s="260" t="s">
        <v>30</v>
      </c>
      <c r="B124" s="263"/>
      <c r="C124" s="263"/>
      <c r="E124" s="263"/>
      <c r="F124" s="97"/>
      <c r="G124" s="264"/>
      <c r="H124" s="264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Abacavir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Martin</cp:lastModifiedBy>
  <cp:lastPrinted>2016-06-25T14:33:09Z</cp:lastPrinted>
  <dcterms:created xsi:type="dcterms:W3CDTF">2005-07-05T10:19:27Z</dcterms:created>
  <dcterms:modified xsi:type="dcterms:W3CDTF">2016-06-26T13:03:39Z</dcterms:modified>
</cp:coreProperties>
</file>