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15015" windowHeight="7620" activeTab="2"/>
  </bookViews>
  <sheets>
    <sheet name="SST (2)" sheetId="5" r:id="rId1"/>
    <sheet name="Uniformity" sheetId="2" r:id="rId2"/>
    <sheet name="NEVIRAPINE" sheetId="3" r:id="rId3"/>
    <sheet name="Sheet1" sheetId="4" r:id="rId4"/>
  </sheets>
  <definedNames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I18" i="4" l="1"/>
  <c r="G19" i="4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G25" i="4"/>
  <c r="F27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3" s="1"/>
  <c r="C45" i="2"/>
  <c r="C19" i="2"/>
  <c r="D29" i="2" l="1"/>
  <c r="D31" i="2"/>
  <c r="D39" i="2"/>
  <c r="D37" i="2"/>
  <c r="D25" i="2"/>
  <c r="D33" i="2"/>
  <c r="D41" i="2"/>
  <c r="D27" i="2"/>
  <c r="D35" i="2"/>
  <c r="D43" i="2"/>
  <c r="I92" i="3"/>
  <c r="D101" i="3"/>
  <c r="E91" i="3" s="1"/>
  <c r="I39" i="3"/>
  <c r="F44" i="3"/>
  <c r="F45" i="3" s="1"/>
  <c r="D49" i="3"/>
  <c r="D45" i="3"/>
  <c r="E39" i="3" s="1"/>
  <c r="E38" i="3"/>
  <c r="D98" i="3"/>
  <c r="D99" i="3" s="1"/>
  <c r="E94" i="3"/>
  <c r="D102" i="3"/>
  <c r="E92" i="3"/>
  <c r="B69" i="3"/>
  <c r="C49" i="2"/>
  <c r="C50" i="2"/>
  <c r="D24" i="2"/>
  <c r="D26" i="2"/>
  <c r="D28" i="2"/>
  <c r="D30" i="2"/>
  <c r="D32" i="2"/>
  <c r="D34" i="2"/>
  <c r="D36" i="2"/>
  <c r="D38" i="2"/>
  <c r="D40" i="2"/>
  <c r="D42" i="2"/>
  <c r="B49" i="2"/>
  <c r="D49" i="2"/>
  <c r="D50" i="2"/>
  <c r="E40" i="3"/>
  <c r="F97" i="3"/>
  <c r="F98" i="3" s="1"/>
  <c r="F99" i="3" s="1"/>
  <c r="E93" i="3" l="1"/>
  <c r="D46" i="3"/>
  <c r="G41" i="3"/>
  <c r="G40" i="3"/>
  <c r="G39" i="3"/>
  <c r="F46" i="3"/>
  <c r="G38" i="3"/>
  <c r="G42" i="3" s="1"/>
  <c r="E41" i="3"/>
  <c r="E42" i="3" s="1"/>
  <c r="G94" i="3"/>
  <c r="G91" i="3"/>
  <c r="E95" i="3"/>
  <c r="G93" i="3"/>
  <c r="G92" i="3"/>
  <c r="D105" i="3" l="1"/>
  <c r="D52" i="3"/>
  <c r="D50" i="3"/>
  <c r="G70" i="3" s="1"/>
  <c r="H70" i="3" s="1"/>
  <c r="G95" i="3"/>
  <c r="D103" i="3"/>
  <c r="E113" i="3" s="1"/>
  <c r="F113" i="3" s="1"/>
  <c r="E110" i="3"/>
  <c r="F110" i="3" s="1"/>
  <c r="E109" i="3"/>
  <c r="F109" i="3" s="1"/>
  <c r="G71" i="3"/>
  <c r="H71" i="3" s="1"/>
  <c r="D104" i="3" l="1"/>
  <c r="E108" i="3"/>
  <c r="E115" i="3" s="1"/>
  <c r="E116" i="3" s="1"/>
  <c r="E112" i="3"/>
  <c r="F112" i="3" s="1"/>
  <c r="E111" i="3"/>
  <c r="F111" i="3" s="1"/>
  <c r="D51" i="3"/>
  <c r="G60" i="3"/>
  <c r="H60" i="3" s="1"/>
  <c r="G62" i="3"/>
  <c r="H62" i="3" s="1"/>
  <c r="G66" i="3"/>
  <c r="H66" i="3" s="1"/>
  <c r="G64" i="3"/>
  <c r="H64" i="3" s="1"/>
  <c r="G69" i="3"/>
  <c r="H69" i="3" s="1"/>
  <c r="G68" i="3"/>
  <c r="H68" i="3" s="1"/>
  <c r="G61" i="3"/>
  <c r="H61" i="3" s="1"/>
  <c r="G63" i="3"/>
  <c r="H63" i="3" s="1"/>
  <c r="G65" i="3"/>
  <c r="H65" i="3" s="1"/>
  <c r="G67" i="3"/>
  <c r="H67" i="3" s="1"/>
  <c r="F108" i="3" l="1"/>
  <c r="E117" i="3"/>
  <c r="G72" i="3"/>
  <c r="G73" i="3" s="1"/>
  <c r="G74" i="3"/>
  <c r="F115" i="3"/>
  <c r="F117" i="3"/>
  <c r="H74" i="3"/>
  <c r="H72" i="3"/>
  <c r="G120" i="3" l="1"/>
  <c r="F116" i="3"/>
  <c r="G76" i="3"/>
  <c r="H73" i="3"/>
</calcChain>
</file>

<file path=xl/sharedStrings.xml><?xml version="1.0" encoding="utf-8"?>
<sst xmlns="http://schemas.openxmlformats.org/spreadsheetml/2006/main" count="233" uniqueCount="129">
  <si>
    <t>HPLC System Suitability Report</t>
  </si>
  <si>
    <t>Analysis Data</t>
  </si>
  <si>
    <t>Assay</t>
  </si>
  <si>
    <t>Sample(s)</t>
  </si>
  <si>
    <t>Reference Substance:</t>
  </si>
  <si>
    <t>NEVIRAPINE 200MG TABLETS USP</t>
  </si>
  <si>
    <t>% age Purity:</t>
  </si>
  <si>
    <t>NDQD201606988</t>
  </si>
  <si>
    <t>Weight (mg):</t>
  </si>
  <si>
    <t>Nevirapine USP</t>
  </si>
  <si>
    <t>Standard Conc (mg/mL):</t>
  </si>
  <si>
    <t xml:space="preserve">Each Tablet contins Nevirapine USP 200mg </t>
  </si>
  <si>
    <t>2016-06-08 13:33:07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</si>
  <si>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</si>
  <si>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</si>
  <si>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</si>
  <si>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</si>
  <si>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</si>
  <si>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</si>
  <si>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</si>
  <si>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</si>
  <si>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</si>
  <si>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</si>
  <si>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</si>
  <si>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</si>
  <si>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</si>
  <si>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</si>
  <si>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</si>
  <si>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</si>
  <si>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</si>
  <si>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</si>
  <si>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</si>
  <si>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</si>
  <si>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</si>
  <si>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</si>
  <si>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</si>
  <si>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</si>
  <si>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</si>
  <si>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</si>
  <si>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</si>
  <si>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</si>
  <si>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</si>
  <si>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</si>
  <si>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</si>
  <si>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</si>
  <si>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</si>
  <si>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</si>
  <si>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</si>
  <si>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</si>
  <si>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</si>
  <si>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</si>
  <si>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</si>
  <si>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</si>
  <si>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</si>
  <si>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</si>
  <si>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</si>
  <si>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</si>
  <si>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</si>
  <si>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</si>
  <si>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</si>
  <si>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</si>
  <si>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</si>
  <si>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</si>
  <si>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</si>
  <si>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</si>
  <si>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</si>
  <si>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</si>
  <si>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</si>
  <si>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</si>
  <si>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</si>
  <si>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</si>
  <si>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</si>
  <si>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</si>
  <si>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</si>
  <si>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</si>
  <si>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</si>
  <si>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</si>
  <si>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</si>
  <si>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</si>
  <si>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</si>
  <si>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</si>
  <si>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</si>
  <si>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</si>
  <si>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</si>
  <si>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</si>
  <si>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</si>
  <si>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</si>
  <si>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</si>
  <si>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</si>
  <si>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</si>
  <si>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</si>
  <si>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</si>
  <si>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</si>
  <si>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</si>
  <si>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</si>
  <si>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</si>
  <si>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</si>
  <si>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</si>
  <si>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</si>
  <si>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</si>
  <si>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</si>
  <si>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</si>
  <si>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</si>
  <si>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</si>
  <si>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</si>
  <si>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</si>
  <si>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</si>
  <si>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</si>
  <si>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</si>
  <si>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</si>
  <si>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</si>
  <si>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</si>
  <si>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</si>
  <si>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</si>
  <si>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</si>
  <si>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</si>
  <si>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</si>
  <si>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</si>
  <si>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</si>
  <si>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</si>
  <si>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</si>
  <si>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</si>
  <si>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</si>
  <si>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N1-2</t>
  </si>
  <si>
    <t xml:space="preserve">NEVIRAPINE TABLETS USP 200MG 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</si>
  <si>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</si>
  <si>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</si>
  <si>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</si>
  <si>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NDQB201605988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</si>
</sst>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0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32" fillId="2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3" borderId="29" xfId="0" applyFont="1" applyFill="1" applyBorder="1" applyAlignment="1" applyProtection="1">
      <alignment horizontal="center"/>
      <protection locked="0"/>
    </xf>
    <xf numFmtId="0" fontId="24" fillId="3" borderId="23" xfId="0" applyFont="1" applyFill="1" applyBorder="1" applyAlignment="1" applyProtection="1">
      <alignment horizontal="center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0" fontId="25" fillId="2" borderId="0" xfId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22" fontId="30" fillId="2" borderId="0" xfId="1" applyNumberFormat="1" applyFont="1" applyFill="1"/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0" fillId="2" borderId="0" xfId="1" applyFont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2"/>
    <cellStyle name="Normal 3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8" workbookViewId="0">
      <selection activeCell="B50" sqref="B50"/>
    </sheetView>
  </sheetViews>
  <sheetFormatPr defaultRowHeight="13.5" x14ac:dyDescent="0.25"/>
  <cols>
    <col min="1" max="1" width="27.5703125" style="236" customWidth="1"/>
    <col min="2" max="2" width="20.42578125" style="236" customWidth="1"/>
    <col min="3" max="3" width="31.85546875" style="236" customWidth="1"/>
    <col min="4" max="4" width="25.85546875" style="236" customWidth="1"/>
    <col min="5" max="5" width="25.7109375" style="236" customWidth="1"/>
    <col min="6" max="6" width="23.140625" style="236" customWidth="1"/>
    <col min="7" max="7" width="28.42578125" style="236" customWidth="1"/>
    <col min="8" max="8" width="21.5703125" style="236" customWidth="1"/>
    <col min="9" max="9" width="9.140625" style="236" customWidth="1"/>
    <col min="10" max="16384" width="9.140625" style="274"/>
  </cols>
  <sheetData>
    <row r="14" spans="1:6" ht="15" customHeight="1" x14ac:dyDescent="0.3">
      <c r="A14" s="235"/>
      <c r="C14" s="237"/>
      <c r="F14" s="237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238" t="s">
        <v>1</v>
      </c>
      <c r="B16" s="239" t="s">
        <v>2</v>
      </c>
    </row>
    <row r="17" spans="1:5" ht="16.5" customHeight="1" x14ac:dyDescent="0.3">
      <c r="A17" s="240" t="s">
        <v>3</v>
      </c>
      <c r="B17" s="240" t="s">
        <v>124</v>
      </c>
      <c r="D17" s="241"/>
      <c r="E17" s="242"/>
    </row>
    <row r="18" spans="1:5" ht="16.5" customHeight="1" x14ac:dyDescent="0.3">
      <c r="A18" s="243" t="s">
        <v>4</v>
      </c>
      <c r="B18" s="244" t="s">
        <v>128</v>
      </c>
      <c r="C18" s="242"/>
      <c r="D18" s="242"/>
      <c r="E18" s="242"/>
    </row>
    <row r="19" spans="1:5" ht="16.5" customHeight="1" x14ac:dyDescent="0.3">
      <c r="A19" s="243" t="s">
        <v>6</v>
      </c>
      <c r="B19" s="245">
        <v>99.15</v>
      </c>
      <c r="C19" s="242"/>
      <c r="D19" s="242"/>
      <c r="E19" s="242"/>
    </row>
    <row r="20" spans="1:5" ht="16.5" customHeight="1" x14ac:dyDescent="0.3">
      <c r="A20" s="240" t="s">
        <v>8</v>
      </c>
      <c r="B20" s="244">
        <v>24.04</v>
      </c>
      <c r="C20" s="242"/>
      <c r="D20" s="242"/>
      <c r="E20" s="242"/>
    </row>
    <row r="21" spans="1:5" ht="16.5" customHeight="1" x14ac:dyDescent="0.3">
      <c r="A21" s="240" t="s">
        <v>10</v>
      </c>
      <c r="B21" s="246">
        <f>B20/50*5/100</f>
        <v>2.4039999999999999E-2</v>
      </c>
      <c r="C21" s="242"/>
      <c r="D21" s="242"/>
      <c r="E21" s="242"/>
    </row>
    <row r="22" spans="1:5" ht="15.75" customHeight="1" x14ac:dyDescent="0.25">
      <c r="A22" s="242"/>
      <c r="B22" s="247">
        <v>42535.566840277781</v>
      </c>
      <c r="C22" s="242"/>
      <c r="D22" s="242"/>
      <c r="E22" s="242"/>
    </row>
    <row r="23" spans="1:5" ht="16.5" customHeight="1" x14ac:dyDescent="0.3">
      <c r="A23" s="248" t="s">
        <v>13</v>
      </c>
      <c r="B23" s="249" t="s">
        <v>14</v>
      </c>
      <c r="C23" s="248" t="s">
        <v>15</v>
      </c>
      <c r="D23" s="248" t="s">
        <v>16</v>
      </c>
      <c r="E23" s="248" t="s">
        <v>17</v>
      </c>
    </row>
    <row r="24" spans="1:5" ht="16.5" customHeight="1" x14ac:dyDescent="0.3">
      <c r="A24" s="250">
        <v>1</v>
      </c>
      <c r="B24" s="251">
        <v>181672338</v>
      </c>
      <c r="C24" s="251">
        <v>5591.4</v>
      </c>
      <c r="D24" s="252">
        <v>1.1000000000000001</v>
      </c>
      <c r="E24" s="253">
        <v>4.9000000000000004</v>
      </c>
    </row>
    <row r="25" spans="1:5" ht="16.5" customHeight="1" x14ac:dyDescent="0.3">
      <c r="A25" s="250">
        <v>2</v>
      </c>
      <c r="B25" s="251">
        <v>181089473</v>
      </c>
      <c r="C25" s="251">
        <v>5618.8</v>
      </c>
      <c r="D25" s="252">
        <v>1.1000000000000001</v>
      </c>
      <c r="E25" s="252">
        <v>4.9000000000000004</v>
      </c>
    </row>
    <row r="26" spans="1:5" ht="16.5" customHeight="1" x14ac:dyDescent="0.3">
      <c r="A26" s="250">
        <v>3</v>
      </c>
      <c r="B26" s="251">
        <v>180042849</v>
      </c>
      <c r="C26" s="251">
        <v>5568.3</v>
      </c>
      <c r="D26" s="252">
        <v>1.1000000000000001</v>
      </c>
      <c r="E26" s="252">
        <v>4.9000000000000004</v>
      </c>
    </row>
    <row r="27" spans="1:5" ht="16.5" customHeight="1" x14ac:dyDescent="0.3">
      <c r="A27" s="250">
        <v>4</v>
      </c>
      <c r="B27" s="251">
        <v>180321210</v>
      </c>
      <c r="C27" s="251">
        <v>5560.2</v>
      </c>
      <c r="D27" s="252">
        <v>1.1000000000000001</v>
      </c>
      <c r="E27" s="252">
        <v>4.9000000000000004</v>
      </c>
    </row>
    <row r="28" spans="1:5" ht="16.5" customHeight="1" x14ac:dyDescent="0.3">
      <c r="A28" s="250">
        <v>5</v>
      </c>
      <c r="B28" s="251">
        <v>180754097</v>
      </c>
      <c r="C28" s="251">
        <v>5531.5</v>
      </c>
      <c r="D28" s="252">
        <v>1.1000000000000001</v>
      </c>
      <c r="E28" s="252">
        <v>4.9000000000000004</v>
      </c>
    </row>
    <row r="29" spans="1:5" ht="16.5" customHeight="1" x14ac:dyDescent="0.3">
      <c r="A29" s="250">
        <v>6</v>
      </c>
      <c r="B29" s="254">
        <v>182179792</v>
      </c>
      <c r="C29" s="254">
        <v>5580.3</v>
      </c>
      <c r="D29" s="255">
        <v>1.1000000000000001</v>
      </c>
      <c r="E29" s="255">
        <v>4.9000000000000004</v>
      </c>
    </row>
    <row r="30" spans="1:5" ht="16.5" customHeight="1" x14ac:dyDescent="0.3">
      <c r="A30" s="256" t="s">
        <v>18</v>
      </c>
      <c r="B30" s="257">
        <f>AVERAGE(B24:B29)</f>
        <v>181009959.83333334</v>
      </c>
      <c r="C30" s="258">
        <f>AVERAGE(C24:C29)</f>
        <v>5575.083333333333</v>
      </c>
      <c r="D30" s="259">
        <f>AVERAGE(D24:D29)</f>
        <v>1.0999999999999999</v>
      </c>
      <c r="E30" s="259">
        <f>AVERAGE(E24:E29)</f>
        <v>4.8999999999999995</v>
      </c>
    </row>
    <row r="31" spans="1:5" ht="16.5" customHeight="1" x14ac:dyDescent="0.3">
      <c r="A31" s="260" t="s">
        <v>19</v>
      </c>
      <c r="B31" s="261">
        <f>(STDEV(B24:B29)/B30)</f>
        <v>4.4804947539469073E-3</v>
      </c>
      <c r="C31" s="262"/>
      <c r="D31" s="262"/>
      <c r="E31" s="263"/>
    </row>
    <row r="32" spans="1:5" s="236" customFormat="1" ht="16.5" customHeight="1" x14ac:dyDescent="0.3">
      <c r="A32" s="264" t="s">
        <v>20</v>
      </c>
      <c r="B32" s="265">
        <f>COUNT(B24:B29)</f>
        <v>6</v>
      </c>
      <c r="C32" s="266"/>
      <c r="D32" s="267"/>
      <c r="E32" s="268"/>
    </row>
    <row r="33" spans="1:5" s="236" customFormat="1" ht="15.75" customHeight="1" x14ac:dyDescent="0.25">
      <c r="A33" s="242"/>
      <c r="B33" s="242"/>
      <c r="C33" s="242"/>
      <c r="D33" s="242"/>
      <c r="E33" s="242"/>
    </row>
    <row r="34" spans="1:5" s="236" customFormat="1" ht="16.5" customHeight="1" x14ac:dyDescent="0.3">
      <c r="A34" s="243" t="s">
        <v>21</v>
      </c>
      <c r="B34" s="269" t="s">
        <v>125</v>
      </c>
      <c r="C34" s="270"/>
      <c r="D34" s="270"/>
      <c r="E34" s="270"/>
    </row>
    <row r="35" spans="1:5" ht="16.5" customHeight="1" x14ac:dyDescent="0.3">
      <c r="A35" s="243"/>
      <c r="B35" s="269" t="s">
        <v>126</v>
      </c>
      <c r="C35" s="270"/>
      <c r="D35" s="270"/>
      <c r="E35" s="270"/>
    </row>
    <row r="36" spans="1:5" ht="16.5" customHeight="1" x14ac:dyDescent="0.3">
      <c r="A36" s="243"/>
      <c r="B36" s="269" t="s">
        <v>127</v>
      </c>
      <c r="C36" s="270"/>
      <c r="D36" s="270"/>
      <c r="E36" s="270"/>
    </row>
    <row r="37" spans="1:5" ht="15.75" customHeight="1" x14ac:dyDescent="0.25">
      <c r="A37" s="242"/>
      <c r="B37" s="242"/>
      <c r="C37" s="242"/>
      <c r="D37" s="242"/>
      <c r="E37" s="242"/>
    </row>
    <row r="38" spans="1:5" ht="16.5" customHeight="1" x14ac:dyDescent="0.3">
      <c r="A38" s="238" t="s">
        <v>1</v>
      </c>
      <c r="B38" s="239" t="s">
        <v>22</v>
      </c>
    </row>
    <row r="39" spans="1:5" ht="16.5" customHeight="1" x14ac:dyDescent="0.3">
      <c r="A39" s="243" t="s">
        <v>4</v>
      </c>
      <c r="B39" s="244" t="s">
        <v>128</v>
      </c>
      <c r="C39" s="242"/>
      <c r="D39" s="242"/>
      <c r="E39" s="242"/>
    </row>
    <row r="40" spans="1:5" ht="16.5" customHeight="1" x14ac:dyDescent="0.3">
      <c r="A40" s="243" t="s">
        <v>6</v>
      </c>
      <c r="B40" s="245">
        <v>99.15</v>
      </c>
      <c r="C40" s="242"/>
      <c r="D40" s="242"/>
      <c r="E40" s="242"/>
    </row>
    <row r="41" spans="1:5" ht="16.5" customHeight="1" x14ac:dyDescent="0.3">
      <c r="A41" s="240" t="s">
        <v>8</v>
      </c>
      <c r="B41" s="244">
        <v>24.04</v>
      </c>
      <c r="C41" s="242"/>
      <c r="D41" s="242"/>
      <c r="E41" s="242"/>
    </row>
    <row r="42" spans="1:5" ht="16.5" customHeight="1" x14ac:dyDescent="0.3">
      <c r="A42" s="240" t="s">
        <v>10</v>
      </c>
      <c r="B42" s="245">
        <f>B41/50*3/100</f>
        <v>1.4424000000000001E-2</v>
      </c>
      <c r="C42" s="242"/>
      <c r="D42" s="242"/>
      <c r="E42" s="242"/>
    </row>
    <row r="43" spans="1:5" ht="15.75" customHeight="1" x14ac:dyDescent="0.3">
      <c r="A43" s="242"/>
      <c r="B43" s="246"/>
      <c r="C43" s="242"/>
      <c r="D43" s="242"/>
      <c r="E43" s="242"/>
    </row>
    <row r="44" spans="1:5" ht="16.5" customHeight="1" x14ac:dyDescent="0.3">
      <c r="A44" s="248" t="s">
        <v>13</v>
      </c>
      <c r="B44" s="249" t="s">
        <v>14</v>
      </c>
      <c r="C44" s="248" t="s">
        <v>15</v>
      </c>
      <c r="D44" s="248" t="s">
        <v>16</v>
      </c>
      <c r="E44" s="248" t="s">
        <v>17</v>
      </c>
    </row>
    <row r="45" spans="1:5" ht="16.5" customHeight="1" x14ac:dyDescent="0.3">
      <c r="A45" s="250">
        <v>1</v>
      </c>
      <c r="B45" s="251">
        <v>88682632</v>
      </c>
      <c r="C45" s="251">
        <v>6416.22</v>
      </c>
      <c r="D45" s="252">
        <v>1.1000000000000001</v>
      </c>
      <c r="E45" s="253">
        <v>4.1500000000000004</v>
      </c>
    </row>
    <row r="46" spans="1:5" ht="16.5" customHeight="1" x14ac:dyDescent="0.3">
      <c r="A46" s="250">
        <v>2</v>
      </c>
      <c r="B46" s="251">
        <v>86836899</v>
      </c>
      <c r="C46" s="251">
        <v>6460.25</v>
      </c>
      <c r="D46" s="252">
        <v>1.1200000000000001</v>
      </c>
      <c r="E46" s="252">
        <v>4.1500000000000004</v>
      </c>
    </row>
    <row r="47" spans="1:5" ht="16.5" customHeight="1" x14ac:dyDescent="0.3">
      <c r="A47" s="250">
        <v>3</v>
      </c>
      <c r="B47" s="251">
        <v>86273045</v>
      </c>
      <c r="C47" s="251">
        <v>6453.99</v>
      </c>
      <c r="D47" s="252">
        <v>1.1299999999999999</v>
      </c>
      <c r="E47" s="252">
        <v>4.1500000000000004</v>
      </c>
    </row>
    <row r="48" spans="1:5" ht="16.5" customHeight="1" x14ac:dyDescent="0.3">
      <c r="A48" s="250">
        <v>4</v>
      </c>
      <c r="B48" s="251">
        <v>86814984</v>
      </c>
      <c r="C48" s="251">
        <v>6446.5</v>
      </c>
      <c r="D48" s="252">
        <v>1.1100000000000001</v>
      </c>
      <c r="E48" s="252">
        <v>4.1500000000000004</v>
      </c>
    </row>
    <row r="49" spans="1:7" ht="16.5" customHeight="1" x14ac:dyDescent="0.3">
      <c r="A49" s="250">
        <v>5</v>
      </c>
      <c r="B49" s="251">
        <v>87150427</v>
      </c>
      <c r="C49" s="251">
        <v>6466.19</v>
      </c>
      <c r="D49" s="252">
        <v>1.1000000000000001</v>
      </c>
      <c r="E49" s="252">
        <v>4.1500000000000004</v>
      </c>
    </row>
    <row r="50" spans="1:7" ht="16.5" customHeight="1" x14ac:dyDescent="0.3">
      <c r="A50" s="250">
        <v>6</v>
      </c>
      <c r="B50" s="254">
        <v>87120941</v>
      </c>
      <c r="C50" s="254">
        <v>6474.39</v>
      </c>
      <c r="D50" s="255">
        <v>1.1000000000000001</v>
      </c>
      <c r="E50" s="255">
        <v>4.1500000000000004</v>
      </c>
    </row>
    <row r="51" spans="1:7" ht="16.5" customHeight="1" x14ac:dyDescent="0.3">
      <c r="A51" s="256" t="s">
        <v>18</v>
      </c>
      <c r="B51" s="257">
        <f>AVERAGE(B45:B50)</f>
        <v>87146488</v>
      </c>
      <c r="C51" s="258">
        <f>AVERAGE(C45:C50)</f>
        <v>6452.9233333333332</v>
      </c>
      <c r="D51" s="259">
        <f>AVERAGE(D45:D50)</f>
        <v>1.1100000000000001</v>
      </c>
      <c r="E51" s="259">
        <f>AVERAGE(E45:E50)</f>
        <v>4.1499999999999995</v>
      </c>
    </row>
    <row r="52" spans="1:7" ht="16.5" customHeight="1" x14ac:dyDescent="0.3">
      <c r="A52" s="260" t="s">
        <v>19</v>
      </c>
      <c r="B52" s="261">
        <f>(STDEV(B45:B50)/B51)</f>
        <v>9.3632201147369597E-3</v>
      </c>
      <c r="C52" s="262"/>
      <c r="D52" s="262"/>
      <c r="E52" s="263"/>
    </row>
    <row r="53" spans="1:7" s="236" customFormat="1" ht="16.5" customHeight="1" x14ac:dyDescent="0.3">
      <c r="A53" s="264" t="s">
        <v>20</v>
      </c>
      <c r="B53" s="265">
        <f>COUNT(B45:B50)</f>
        <v>6</v>
      </c>
      <c r="C53" s="266"/>
      <c r="D53" s="267"/>
      <c r="E53" s="268"/>
    </row>
    <row r="54" spans="1:7" s="236" customFormat="1" ht="15.75" customHeight="1" x14ac:dyDescent="0.25">
      <c r="A54" s="242"/>
      <c r="B54" s="242"/>
      <c r="C54" s="242"/>
      <c r="D54" s="242"/>
      <c r="E54" s="242"/>
    </row>
    <row r="55" spans="1:7" s="236" customFormat="1" ht="16.5" customHeight="1" x14ac:dyDescent="0.3">
      <c r="A55" s="243" t="s">
        <v>21</v>
      </c>
      <c r="B55" s="269" t="s">
        <v>125</v>
      </c>
      <c r="C55" s="270"/>
      <c r="D55" s="270"/>
      <c r="E55" s="270"/>
    </row>
    <row r="56" spans="1:7" ht="16.5" customHeight="1" x14ac:dyDescent="0.3">
      <c r="A56" s="243"/>
      <c r="B56" s="269" t="s">
        <v>126</v>
      </c>
      <c r="C56" s="270"/>
      <c r="D56" s="270"/>
      <c r="E56" s="270"/>
    </row>
    <row r="57" spans="1:7" ht="16.5" customHeight="1" x14ac:dyDescent="0.3">
      <c r="A57" s="243"/>
      <c r="B57" s="269" t="s">
        <v>127</v>
      </c>
      <c r="C57" s="270"/>
      <c r="D57" s="270"/>
      <c r="E57" s="270"/>
    </row>
    <row r="58" spans="1:7" ht="14.25" customHeight="1" thickBot="1" x14ac:dyDescent="0.3">
      <c r="A58" s="271"/>
      <c r="B58" s="272"/>
      <c r="D58" s="273"/>
      <c r="F58" s="274"/>
      <c r="G58" s="274"/>
    </row>
    <row r="59" spans="1:7" ht="15" customHeight="1" x14ac:dyDescent="0.3">
      <c r="B59" s="282" t="s">
        <v>23</v>
      </c>
      <c r="C59" s="282"/>
      <c r="E59" s="275" t="s">
        <v>24</v>
      </c>
      <c r="F59" s="276"/>
      <c r="G59" s="275" t="s">
        <v>25</v>
      </c>
    </row>
    <row r="60" spans="1:7" ht="15" customHeight="1" x14ac:dyDescent="0.3">
      <c r="A60" s="277" t="s">
        <v>26</v>
      </c>
      <c r="B60" s="278"/>
      <c r="C60" s="278"/>
      <c r="E60" s="278"/>
      <c r="G60" s="278"/>
    </row>
    <row r="61" spans="1:7" ht="15" customHeight="1" x14ac:dyDescent="0.3">
      <c r="A61" s="277" t="s">
        <v>27</v>
      </c>
      <c r="B61" s="279"/>
      <c r="C61" s="279"/>
      <c r="E61" s="279"/>
      <c r="G61" s="28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6" workbookViewId="0">
      <selection activeCell="E45" sqref="E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28</v>
      </c>
      <c r="B11" s="287"/>
      <c r="C11" s="287"/>
      <c r="D11" s="287"/>
      <c r="E11" s="287"/>
      <c r="F11" s="288"/>
      <c r="G11" s="44"/>
    </row>
    <row r="12" spans="1:7" ht="16.5" customHeight="1" x14ac:dyDescent="0.3">
      <c r="A12" s="285" t="s">
        <v>29</v>
      </c>
      <c r="B12" s="285"/>
      <c r="C12" s="285"/>
      <c r="D12" s="285"/>
      <c r="E12" s="285"/>
      <c r="F12" s="285"/>
      <c r="G12" s="43"/>
    </row>
    <row r="14" spans="1:7" ht="16.5" customHeight="1" x14ac:dyDescent="0.3">
      <c r="A14" s="290" t="s">
        <v>30</v>
      </c>
      <c r="B14" s="290"/>
      <c r="C14" s="13" t="s">
        <v>5</v>
      </c>
    </row>
    <row r="15" spans="1:7" ht="16.5" customHeight="1" x14ac:dyDescent="0.3">
      <c r="A15" s="290" t="s">
        <v>31</v>
      </c>
      <c r="B15" s="290"/>
      <c r="C15" s="13" t="s">
        <v>7</v>
      </c>
    </row>
    <row r="16" spans="1:7" ht="16.5" customHeight="1" x14ac:dyDescent="0.3">
      <c r="A16" s="290" t="s">
        <v>32</v>
      </c>
      <c r="B16" s="290"/>
      <c r="C16" s="13" t="s">
        <v>9</v>
      </c>
    </row>
    <row r="17" spans="1:5" ht="16.5" customHeight="1" x14ac:dyDescent="0.3">
      <c r="A17" s="290" t="s">
        <v>33</v>
      </c>
      <c r="B17" s="290"/>
      <c r="C17" s="13" t="s">
        <v>11</v>
      </c>
    </row>
    <row r="18" spans="1:5" ht="16.5" customHeight="1" x14ac:dyDescent="0.3">
      <c r="A18" s="290" t="s">
        <v>34</v>
      </c>
      <c r="B18" s="290"/>
      <c r="C18" s="50" t="s">
        <v>12</v>
      </c>
    </row>
    <row r="19" spans="1:5" ht="16.5" customHeight="1" x14ac:dyDescent="0.3">
      <c r="A19" s="290" t="s">
        <v>35</v>
      </c>
      <c r="B19" s="290"/>
      <c r="C19" s="50" t="e">
        <f>#REF!</f>
        <v>#REF!</v>
      </c>
    </row>
    <row r="20" spans="1:5" ht="16.5" customHeight="1" x14ac:dyDescent="0.3">
      <c r="A20" s="15"/>
      <c r="B20" s="15"/>
      <c r="C20" s="30"/>
    </row>
    <row r="21" spans="1:5" ht="16.5" customHeight="1" x14ac:dyDescent="0.3">
      <c r="A21" s="285" t="s">
        <v>1</v>
      </c>
      <c r="B21" s="285"/>
      <c r="C21" s="12" t="s">
        <v>36</v>
      </c>
      <c r="D21" s="19"/>
    </row>
    <row r="22" spans="1:5" ht="15.75" customHeight="1" x14ac:dyDescent="0.3">
      <c r="A22" s="289"/>
      <c r="B22" s="289"/>
      <c r="C22" s="10"/>
      <c r="D22" s="289"/>
      <c r="E22" s="289"/>
    </row>
    <row r="23" spans="1:5" ht="33.75" customHeight="1" x14ac:dyDescent="0.3">
      <c r="C23" s="39" t="s">
        <v>37</v>
      </c>
      <c r="D23" s="38" t="s">
        <v>38</v>
      </c>
      <c r="E23" s="5"/>
    </row>
    <row r="24" spans="1:5" ht="15.75" customHeight="1" x14ac:dyDescent="0.3">
      <c r="C24" s="48">
        <v>820.53</v>
      </c>
      <c r="D24" s="40">
        <f t="shared" ref="D24:D43" si="0">(C24-$C$46)/$C$46</f>
        <v>2.2248191041919919E-2</v>
      </c>
      <c r="E24" s="6"/>
    </row>
    <row r="25" spans="1:5" ht="15.75" customHeight="1" x14ac:dyDescent="0.3">
      <c r="C25" s="48">
        <v>831.02</v>
      </c>
      <c r="D25" s="41">
        <f t="shared" si="0"/>
        <v>3.5317041082783447E-2</v>
      </c>
      <c r="E25" s="6"/>
    </row>
    <row r="26" spans="1:5" ht="15.75" customHeight="1" x14ac:dyDescent="0.3">
      <c r="C26" s="48">
        <v>803.71</v>
      </c>
      <c r="D26" s="41">
        <f t="shared" si="0"/>
        <v>1.2931807762074806E-3</v>
      </c>
      <c r="E26" s="6"/>
    </row>
    <row r="27" spans="1:5" ht="15.75" customHeight="1" x14ac:dyDescent="0.3">
      <c r="C27" s="48">
        <v>799.82</v>
      </c>
      <c r="D27" s="41">
        <f t="shared" si="0"/>
        <v>-3.5531325373253028E-3</v>
      </c>
      <c r="E27" s="6"/>
    </row>
    <row r="28" spans="1:5" ht="15.75" customHeight="1" x14ac:dyDescent="0.3">
      <c r="C28" s="48">
        <v>793.57</v>
      </c>
      <c r="D28" s="41">
        <f t="shared" si="0"/>
        <v>-1.1339625650327874E-2</v>
      </c>
      <c r="E28" s="6"/>
    </row>
    <row r="29" spans="1:5" ht="15.75" customHeight="1" x14ac:dyDescent="0.3">
      <c r="C29" s="48">
        <v>806.82</v>
      </c>
      <c r="D29" s="41">
        <f t="shared" si="0"/>
        <v>5.1677397492375767E-3</v>
      </c>
      <c r="E29" s="6"/>
    </row>
    <row r="30" spans="1:5" ht="15.75" customHeight="1" x14ac:dyDescent="0.3">
      <c r="C30" s="48">
        <v>810.52</v>
      </c>
      <c r="D30" s="41">
        <f t="shared" si="0"/>
        <v>9.7773436721350134E-3</v>
      </c>
      <c r="E30" s="6"/>
    </row>
    <row r="31" spans="1:5" ht="15.75" customHeight="1" x14ac:dyDescent="0.3">
      <c r="C31" s="48">
        <v>785.81</v>
      </c>
      <c r="D31" s="41">
        <f t="shared" si="0"/>
        <v>-2.1007335499431998E-2</v>
      </c>
      <c r="E31" s="6"/>
    </row>
    <row r="32" spans="1:5" ht="15.75" customHeight="1" x14ac:dyDescent="0.3">
      <c r="C32" s="48">
        <v>802.14</v>
      </c>
      <c r="D32" s="41">
        <f t="shared" si="0"/>
        <v>-6.6278629377882761E-4</v>
      </c>
      <c r="E32" s="6"/>
    </row>
    <row r="33" spans="1:7" ht="15.75" customHeight="1" x14ac:dyDescent="0.3">
      <c r="C33" s="48">
        <v>808</v>
      </c>
      <c r="D33" s="41">
        <f t="shared" si="0"/>
        <v>6.6378296489723997E-3</v>
      </c>
      <c r="E33" s="6"/>
    </row>
    <row r="34" spans="1:7" ht="15.75" customHeight="1" x14ac:dyDescent="0.3">
      <c r="C34" s="48">
        <v>803.72</v>
      </c>
      <c r="D34" s="41">
        <f t="shared" si="0"/>
        <v>1.3056391651882734E-3</v>
      </c>
      <c r="E34" s="6"/>
    </row>
    <row r="35" spans="1:7" ht="15.75" customHeight="1" x14ac:dyDescent="0.3">
      <c r="C35" s="48">
        <v>793.32</v>
      </c>
      <c r="D35" s="41">
        <f t="shared" si="0"/>
        <v>-1.1651085374847976E-2</v>
      </c>
      <c r="E35" s="6"/>
    </row>
    <row r="36" spans="1:7" ht="15.75" customHeight="1" x14ac:dyDescent="0.3">
      <c r="C36" s="48">
        <v>797.65</v>
      </c>
      <c r="D36" s="41">
        <f t="shared" si="0"/>
        <v>-6.2566029461598857E-3</v>
      </c>
      <c r="E36" s="6"/>
    </row>
    <row r="37" spans="1:7" ht="15.75" customHeight="1" x14ac:dyDescent="0.3">
      <c r="C37" s="48">
        <v>794.85</v>
      </c>
      <c r="D37" s="41">
        <f t="shared" si="0"/>
        <v>-9.7449518607849814E-3</v>
      </c>
      <c r="E37" s="6"/>
    </row>
    <row r="38" spans="1:7" ht="15.75" customHeight="1" x14ac:dyDescent="0.3">
      <c r="C38" s="48">
        <v>800.6</v>
      </c>
      <c r="D38" s="41">
        <f t="shared" si="0"/>
        <v>-2.581378196822616E-3</v>
      </c>
      <c r="E38" s="6"/>
    </row>
    <row r="39" spans="1:7" ht="15.75" customHeight="1" x14ac:dyDescent="0.3">
      <c r="C39" s="48">
        <v>806.69</v>
      </c>
      <c r="D39" s="41">
        <f t="shared" si="0"/>
        <v>5.0057806924871289E-3</v>
      </c>
      <c r="E39" s="6"/>
    </row>
    <row r="40" spans="1:7" ht="15.75" customHeight="1" x14ac:dyDescent="0.3">
      <c r="C40" s="48">
        <v>806.07</v>
      </c>
      <c r="D40" s="41">
        <f t="shared" si="0"/>
        <v>4.2333605756772683E-3</v>
      </c>
      <c r="E40" s="6"/>
    </row>
    <row r="41" spans="1:7" ht="15.75" customHeight="1" x14ac:dyDescent="0.3">
      <c r="C41" s="48">
        <v>805.95</v>
      </c>
      <c r="D41" s="41">
        <f t="shared" si="0"/>
        <v>4.0838599079076133E-3</v>
      </c>
      <c r="E41" s="6"/>
    </row>
    <row r="42" spans="1:7" ht="15.75" customHeight="1" x14ac:dyDescent="0.3">
      <c r="C42" s="48">
        <v>781.43</v>
      </c>
      <c r="D42" s="41">
        <f t="shared" si="0"/>
        <v>-2.6464109873024194E-2</v>
      </c>
      <c r="E42" s="6"/>
    </row>
    <row r="43" spans="1:7" ht="16.5" customHeight="1" x14ac:dyDescent="0.3">
      <c r="C43" s="49">
        <v>801.22</v>
      </c>
      <c r="D43" s="42">
        <f t="shared" si="0"/>
        <v>-1.8089580800127552E-3</v>
      </c>
      <c r="E43" s="6"/>
    </row>
    <row r="44" spans="1:7" ht="16.5" customHeight="1" x14ac:dyDescent="0.3">
      <c r="C44" s="7"/>
      <c r="D44" s="6"/>
      <c r="E44" s="8"/>
    </row>
    <row r="45" spans="1:7" ht="16.5" customHeight="1" x14ac:dyDescent="0.3">
      <c r="B45" s="35" t="s">
        <v>39</v>
      </c>
      <c r="C45" s="36">
        <f>SUM(C24:C44)</f>
        <v>16053.44</v>
      </c>
      <c r="D45" s="31"/>
      <c r="E45" s="7"/>
    </row>
    <row r="46" spans="1:7" ht="17.25" customHeight="1" x14ac:dyDescent="0.3">
      <c r="B46" s="35" t="s">
        <v>40</v>
      </c>
      <c r="C46" s="37">
        <f>AVERAGE(C24:C44)</f>
        <v>802.67200000000003</v>
      </c>
      <c r="E46" s="9"/>
    </row>
    <row r="47" spans="1:7" ht="17.25" customHeight="1" x14ac:dyDescent="0.3">
      <c r="A47" s="13"/>
      <c r="B47" s="32"/>
      <c r="D47" s="11"/>
      <c r="E47" s="9"/>
    </row>
    <row r="48" spans="1:7" ht="33.75" customHeight="1" x14ac:dyDescent="0.3">
      <c r="B48" s="45" t="s">
        <v>40</v>
      </c>
      <c r="C48" s="38" t="s">
        <v>41</v>
      </c>
      <c r="D48" s="33"/>
      <c r="G48" s="11"/>
    </row>
    <row r="49" spans="1:6" ht="17.25" customHeight="1" x14ac:dyDescent="0.3">
      <c r="B49" s="283">
        <f>C46</f>
        <v>802.67200000000003</v>
      </c>
      <c r="C49" s="46">
        <f>-IF(C46&lt;=80,10%,IF(C46&lt;250,7.5%,5%))</f>
        <v>-0.05</v>
      </c>
      <c r="D49" s="34">
        <f>IF(C46&lt;=80,C46*0.9,IF(C46&lt;250,C46*0.925,C46*0.95))</f>
        <v>762.53840000000002</v>
      </c>
    </row>
    <row r="50" spans="1:6" ht="17.25" customHeight="1" x14ac:dyDescent="0.3">
      <c r="B50" s="284"/>
      <c r="C50" s="47">
        <f>IF(C46&lt;=80, 10%, IF(C46&lt;250, 7.5%, 5%))</f>
        <v>0.05</v>
      </c>
      <c r="D50" s="34">
        <f>IF(C46&lt;=80, C46*1.1, IF(C46&lt;250, C46*1.075, C46*1.05))</f>
        <v>842.80560000000003</v>
      </c>
    </row>
    <row r="51" spans="1:6" ht="16.5" customHeight="1" x14ac:dyDescent="0.3">
      <c r="A51" s="16"/>
      <c r="B51" s="17"/>
      <c r="C51" s="13"/>
      <c r="D51" s="18"/>
      <c r="E51" s="13"/>
      <c r="F51" s="19"/>
    </row>
    <row r="52" spans="1:6" ht="16.5" customHeight="1" x14ac:dyDescent="0.3">
      <c r="A52" s="13"/>
      <c r="B52" s="20" t="s">
        <v>23</v>
      </c>
      <c r="C52" s="20"/>
      <c r="D52" s="21" t="s">
        <v>24</v>
      </c>
      <c r="E52" s="22"/>
      <c r="F52" s="21" t="s">
        <v>25</v>
      </c>
    </row>
    <row r="53" spans="1:6" ht="34.5" customHeight="1" x14ac:dyDescent="0.3">
      <c r="A53" s="23" t="s">
        <v>26</v>
      </c>
      <c r="B53" s="24"/>
      <c r="C53" s="25"/>
      <c r="D53" s="24"/>
      <c r="E53" s="14"/>
      <c r="F53" s="26"/>
    </row>
    <row r="54" spans="1:6" ht="34.5" customHeight="1" x14ac:dyDescent="0.3">
      <c r="A54" s="23" t="s">
        <v>27</v>
      </c>
      <c r="B54" s="27"/>
      <c r="C54" s="28"/>
      <c r="D54" s="27"/>
      <c r="E54" s="14"/>
      <c r="F54" s="29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84" zoomScale="40" zoomScaleNormal="40" zoomScalePageLayoutView="40" workbookViewId="0">
      <selection activeCell="B65" sqref="B6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42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43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51"/>
    </row>
    <row r="16" spans="1:9" ht="19.5" customHeight="1" x14ac:dyDescent="0.3">
      <c r="A16" s="325" t="s">
        <v>28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44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53" t="s">
        <v>30</v>
      </c>
      <c r="B18" s="324" t="s">
        <v>5</v>
      </c>
      <c r="C18" s="324"/>
      <c r="D18" s="219"/>
      <c r="E18" s="54"/>
      <c r="F18" s="55"/>
      <c r="G18" s="55"/>
      <c r="H18" s="55"/>
    </row>
    <row r="19" spans="1:14" ht="26.25" customHeight="1" x14ac:dyDescent="0.4">
      <c r="A19" s="53" t="s">
        <v>31</v>
      </c>
      <c r="B19" s="56" t="s">
        <v>7</v>
      </c>
      <c r="C19" s="232">
        <v>29</v>
      </c>
      <c r="D19" s="55"/>
      <c r="E19" s="55"/>
      <c r="F19" s="55"/>
      <c r="G19" s="55"/>
      <c r="H19" s="55"/>
    </row>
    <row r="20" spans="1:14" ht="26.25" customHeight="1" x14ac:dyDescent="0.4">
      <c r="A20" s="53" t="s">
        <v>32</v>
      </c>
      <c r="B20" s="329" t="s">
        <v>9</v>
      </c>
      <c r="C20" s="329"/>
      <c r="D20" s="55"/>
      <c r="E20" s="55"/>
      <c r="F20" s="55"/>
      <c r="G20" s="55"/>
      <c r="H20" s="55"/>
    </row>
    <row r="21" spans="1:14" ht="26.25" customHeight="1" x14ac:dyDescent="0.4">
      <c r="A21" s="53" t="s">
        <v>33</v>
      </c>
      <c r="B21" s="329" t="s">
        <v>11</v>
      </c>
      <c r="C21" s="329"/>
      <c r="D21" s="329"/>
      <c r="E21" s="329"/>
      <c r="F21" s="329"/>
      <c r="G21" s="329"/>
      <c r="H21" s="329"/>
      <c r="I21" s="57"/>
    </row>
    <row r="22" spans="1:14" ht="26.25" customHeight="1" x14ac:dyDescent="0.4">
      <c r="A22" s="53" t="s">
        <v>34</v>
      </c>
      <c r="B22" s="58" t="s">
        <v>12</v>
      </c>
      <c r="C22" s="55"/>
      <c r="D22" s="55"/>
      <c r="E22" s="55"/>
      <c r="F22" s="55"/>
      <c r="G22" s="55"/>
      <c r="H22" s="55"/>
    </row>
    <row r="23" spans="1:14" ht="26.25" customHeight="1" x14ac:dyDescent="0.4">
      <c r="A23" s="53" t="s">
        <v>35</v>
      </c>
      <c r="B23" s="58">
        <v>42534.564675925925</v>
      </c>
      <c r="C23" s="55"/>
      <c r="D23" s="55"/>
      <c r="E23" s="55"/>
      <c r="F23" s="55"/>
      <c r="G23" s="55"/>
      <c r="H23" s="55"/>
    </row>
    <row r="24" spans="1:14" ht="18.75" x14ac:dyDescent="0.3">
      <c r="A24" s="53"/>
      <c r="B24" s="59"/>
    </row>
    <row r="25" spans="1:14" ht="18.75" x14ac:dyDescent="0.3">
      <c r="A25" s="60" t="s">
        <v>1</v>
      </c>
      <c r="B25" s="59"/>
    </row>
    <row r="26" spans="1:14" ht="26.25" customHeight="1" x14ac:dyDescent="0.4">
      <c r="A26" s="61" t="s">
        <v>4</v>
      </c>
      <c r="B26" s="324" t="s">
        <v>122</v>
      </c>
      <c r="C26" s="324"/>
    </row>
    <row r="27" spans="1:14" ht="26.25" customHeight="1" x14ac:dyDescent="0.4">
      <c r="A27" s="62" t="s">
        <v>45</v>
      </c>
      <c r="B27" s="322" t="s">
        <v>123</v>
      </c>
      <c r="C27" s="322"/>
    </row>
    <row r="28" spans="1:14" ht="27" customHeight="1" x14ac:dyDescent="0.4">
      <c r="A28" s="62" t="s">
        <v>6</v>
      </c>
      <c r="B28" s="63">
        <v>99.15</v>
      </c>
    </row>
    <row r="29" spans="1:14" s="3" customFormat="1" ht="27" customHeight="1" x14ac:dyDescent="0.4">
      <c r="A29" s="62" t="s">
        <v>46</v>
      </c>
      <c r="B29" s="64">
        <v>0</v>
      </c>
      <c r="C29" s="299" t="s">
        <v>47</v>
      </c>
      <c r="D29" s="300"/>
      <c r="E29" s="300"/>
      <c r="F29" s="300"/>
      <c r="G29" s="301"/>
      <c r="I29" s="65"/>
      <c r="J29" s="65"/>
      <c r="K29" s="65"/>
      <c r="L29" s="65"/>
    </row>
    <row r="30" spans="1:14" s="3" customFormat="1" ht="19.5" customHeight="1" x14ac:dyDescent="0.3">
      <c r="A30" s="62" t="s">
        <v>48</v>
      </c>
      <c r="B30" s="66">
        <f>B28-B29</f>
        <v>99.15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3" customFormat="1" ht="27" customHeight="1" x14ac:dyDescent="0.4">
      <c r="A31" s="62" t="s">
        <v>49</v>
      </c>
      <c r="B31" s="69">
        <v>1</v>
      </c>
      <c r="C31" s="302" t="s">
        <v>50</v>
      </c>
      <c r="D31" s="303"/>
      <c r="E31" s="303"/>
      <c r="F31" s="303"/>
      <c r="G31" s="303"/>
      <c r="H31" s="304"/>
      <c r="I31" s="65"/>
      <c r="J31" s="65"/>
      <c r="K31" s="65"/>
      <c r="L31" s="65"/>
    </row>
    <row r="32" spans="1:14" s="3" customFormat="1" ht="27" customHeight="1" x14ac:dyDescent="0.4">
      <c r="A32" s="62" t="s">
        <v>51</v>
      </c>
      <c r="B32" s="69">
        <v>1</v>
      </c>
      <c r="C32" s="302" t="s">
        <v>52</v>
      </c>
      <c r="D32" s="303"/>
      <c r="E32" s="303"/>
      <c r="F32" s="303"/>
      <c r="G32" s="303"/>
      <c r="H32" s="304"/>
      <c r="I32" s="65"/>
      <c r="J32" s="65"/>
      <c r="K32" s="65"/>
      <c r="L32" s="70"/>
      <c r="M32" s="70"/>
      <c r="N32" s="71"/>
    </row>
    <row r="33" spans="1:14" s="3" customFormat="1" ht="17.25" customHeight="1" x14ac:dyDescent="0.3">
      <c r="A33" s="62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3" customFormat="1" ht="18.75" x14ac:dyDescent="0.3">
      <c r="A34" s="62" t="s">
        <v>53</v>
      </c>
      <c r="B34" s="74">
        <f>B31/B32</f>
        <v>1</v>
      </c>
      <c r="C34" s="52" t="s">
        <v>54</v>
      </c>
      <c r="D34" s="52"/>
      <c r="E34" s="52"/>
      <c r="F34" s="52"/>
      <c r="G34" s="52"/>
      <c r="I34" s="65"/>
      <c r="J34" s="65"/>
      <c r="K34" s="65"/>
      <c r="L34" s="70"/>
      <c r="M34" s="70"/>
      <c r="N34" s="71"/>
    </row>
    <row r="35" spans="1:14" s="3" customFormat="1" ht="19.5" customHeight="1" x14ac:dyDescent="0.3">
      <c r="A35" s="62"/>
      <c r="B35" s="66"/>
      <c r="G35" s="52"/>
      <c r="I35" s="65"/>
      <c r="J35" s="65"/>
      <c r="K35" s="65"/>
      <c r="L35" s="70"/>
      <c r="M35" s="70"/>
      <c r="N35" s="71"/>
    </row>
    <row r="36" spans="1:14" s="3" customFormat="1" ht="27" customHeight="1" x14ac:dyDescent="0.4">
      <c r="A36" s="75" t="s">
        <v>55</v>
      </c>
      <c r="B36" s="76">
        <v>50</v>
      </c>
      <c r="C36" s="52"/>
      <c r="D36" s="305" t="s">
        <v>56</v>
      </c>
      <c r="E36" s="323"/>
      <c r="F36" s="305" t="s">
        <v>57</v>
      </c>
      <c r="G36" s="306"/>
      <c r="J36" s="65"/>
      <c r="K36" s="65"/>
      <c r="L36" s="70"/>
      <c r="M36" s="70"/>
      <c r="N36" s="71"/>
    </row>
    <row r="37" spans="1:14" s="3" customFormat="1" ht="27" customHeight="1" x14ac:dyDescent="0.4">
      <c r="A37" s="77" t="s">
        <v>58</v>
      </c>
      <c r="B37" s="78">
        <v>5</v>
      </c>
      <c r="C37" s="79" t="s">
        <v>59</v>
      </c>
      <c r="D37" s="80" t="s">
        <v>60</v>
      </c>
      <c r="E37" s="81" t="s">
        <v>61</v>
      </c>
      <c r="F37" s="80" t="s">
        <v>60</v>
      </c>
      <c r="G37" s="82" t="s">
        <v>61</v>
      </c>
      <c r="I37" s="83" t="s">
        <v>62</v>
      </c>
      <c r="J37" s="65"/>
      <c r="K37" s="65"/>
      <c r="L37" s="70"/>
      <c r="M37" s="70"/>
      <c r="N37" s="71"/>
    </row>
    <row r="38" spans="1:14" s="3" customFormat="1" ht="26.25" customHeight="1" x14ac:dyDescent="0.4">
      <c r="A38" s="77" t="s">
        <v>63</v>
      </c>
      <c r="B38" s="78">
        <v>100</v>
      </c>
      <c r="C38" s="84">
        <v>1</v>
      </c>
      <c r="D38" s="233">
        <v>180269550</v>
      </c>
      <c r="E38" s="85">
        <f>IF(ISBLANK(D38),"-",$D$48/$D$45*D38)</f>
        <v>189075475.5689584</v>
      </c>
      <c r="F38" s="233">
        <v>174961367</v>
      </c>
      <c r="G38" s="86">
        <f>IF(ISBLANK(F38),"-",$D$48/$F$45*F38)</f>
        <v>191972680.53476307</v>
      </c>
      <c r="I38" s="87"/>
      <c r="J38" s="65"/>
      <c r="K38" s="65"/>
      <c r="L38" s="70"/>
      <c r="M38" s="70"/>
      <c r="N38" s="71"/>
    </row>
    <row r="39" spans="1:14" s="3" customFormat="1" ht="26.25" customHeight="1" x14ac:dyDescent="0.4">
      <c r="A39" s="77" t="s">
        <v>64</v>
      </c>
      <c r="B39" s="78">
        <v>1</v>
      </c>
      <c r="C39" s="88">
        <v>2</v>
      </c>
      <c r="D39" s="234">
        <v>181286470</v>
      </c>
      <c r="E39" s="90">
        <f>IF(ISBLANK(D39),"-",$D$48/$D$45*D39)</f>
        <v>190142070.74610054</v>
      </c>
      <c r="F39" s="234">
        <v>176111792</v>
      </c>
      <c r="G39" s="91">
        <f>IF(ISBLANK(F39),"-",$D$48/$F$45*F39)</f>
        <v>193234960.17278284</v>
      </c>
      <c r="I39" s="307">
        <f>ABS((F43/D43*D42)-F42)/D42</f>
        <v>1.7539877063984945E-2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65</v>
      </c>
      <c r="B40" s="78">
        <v>1</v>
      </c>
      <c r="C40" s="88">
        <v>3</v>
      </c>
      <c r="D40" s="234">
        <v>180596235</v>
      </c>
      <c r="E40" s="90">
        <f>IF(ISBLANK(D40),"-",$D$48/$D$45*D40)</f>
        <v>189418118.69274855</v>
      </c>
      <c r="F40" s="234">
        <v>176683164</v>
      </c>
      <c r="G40" s="91">
        <f>IF(ISBLANK(F40),"-",$D$48/$F$45*F40)</f>
        <v>193861886.08393273</v>
      </c>
      <c r="I40" s="307"/>
      <c r="L40" s="70"/>
      <c r="M40" s="70"/>
      <c r="N40" s="92"/>
    </row>
    <row r="41" spans="1:14" ht="27" customHeight="1" x14ac:dyDescent="0.4">
      <c r="A41" s="77" t="s">
        <v>66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92"/>
    </row>
    <row r="42" spans="1:14" ht="27" customHeight="1" x14ac:dyDescent="0.4">
      <c r="A42" s="77" t="s">
        <v>67</v>
      </c>
      <c r="B42" s="78">
        <v>1</v>
      </c>
      <c r="C42" s="98" t="s">
        <v>68</v>
      </c>
      <c r="D42" s="99">
        <f>AVERAGE(D38:D41)</f>
        <v>180717418.33333334</v>
      </c>
      <c r="E42" s="100">
        <f>AVERAGE(E38:E41)</f>
        <v>189545221.66926917</v>
      </c>
      <c r="F42" s="99">
        <f>AVERAGE(F38:F41)</f>
        <v>175918774.33333334</v>
      </c>
      <c r="G42" s="101">
        <f>AVERAGE(G38:G41)</f>
        <v>193023175.59715953</v>
      </c>
      <c r="H42" s="102"/>
    </row>
    <row r="43" spans="1:14" ht="26.25" customHeight="1" x14ac:dyDescent="0.4">
      <c r="A43" s="77" t="s">
        <v>69</v>
      </c>
      <c r="B43" s="78">
        <v>1</v>
      </c>
      <c r="C43" s="103" t="s">
        <v>70</v>
      </c>
      <c r="D43" s="104">
        <v>24.04</v>
      </c>
      <c r="E43" s="92"/>
      <c r="F43" s="104">
        <v>22.98</v>
      </c>
      <c r="H43" s="102"/>
    </row>
    <row r="44" spans="1:14" ht="26.25" customHeight="1" x14ac:dyDescent="0.4">
      <c r="A44" s="77" t="s">
        <v>71</v>
      </c>
      <c r="B44" s="78">
        <v>1</v>
      </c>
      <c r="C44" s="105" t="s">
        <v>72</v>
      </c>
      <c r="D44" s="106">
        <f>D43*$B$34</f>
        <v>24.04</v>
      </c>
      <c r="E44" s="107"/>
      <c r="F44" s="106">
        <f>F43*$B$34</f>
        <v>22.98</v>
      </c>
      <c r="H44" s="102"/>
    </row>
    <row r="45" spans="1:14" ht="19.5" customHeight="1" x14ac:dyDescent="0.3">
      <c r="A45" s="77" t="s">
        <v>73</v>
      </c>
      <c r="B45" s="108">
        <f>(B44/B43)*(B42/B41)*(B40/B39)*(B38/B37)*B36</f>
        <v>1000</v>
      </c>
      <c r="C45" s="105" t="s">
        <v>74</v>
      </c>
      <c r="D45" s="109">
        <f>D44*$B$30/100</f>
        <v>23.835660000000004</v>
      </c>
      <c r="E45" s="110"/>
      <c r="F45" s="109">
        <f>F44*$B$30/100</f>
        <v>22.784670000000002</v>
      </c>
      <c r="H45" s="102"/>
    </row>
    <row r="46" spans="1:14" ht="19.5" customHeight="1" x14ac:dyDescent="0.3">
      <c r="A46" s="293" t="s">
        <v>75</v>
      </c>
      <c r="B46" s="294"/>
      <c r="C46" s="105" t="s">
        <v>76</v>
      </c>
      <c r="D46" s="111">
        <f>D45/$B$45</f>
        <v>2.3835660000000005E-2</v>
      </c>
      <c r="E46" s="112"/>
      <c r="F46" s="113">
        <f>F45/$B$45</f>
        <v>2.2784670000000003E-2</v>
      </c>
      <c r="H46" s="102"/>
    </row>
    <row r="47" spans="1:14" ht="27" customHeight="1" x14ac:dyDescent="0.4">
      <c r="A47" s="295"/>
      <c r="B47" s="296"/>
      <c r="C47" s="114" t="s">
        <v>77</v>
      </c>
      <c r="D47" s="115">
        <v>2.5000000000000001E-2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25</v>
      </c>
      <c r="F49" s="118"/>
      <c r="H49" s="102"/>
    </row>
    <row r="50" spans="1:12" ht="18.75" x14ac:dyDescent="0.3">
      <c r="C50" s="75" t="s">
        <v>80</v>
      </c>
      <c r="D50" s="121">
        <f>AVERAGE(E38:E41,G38:G41)</f>
        <v>191284198.63321435</v>
      </c>
      <c r="F50" s="122"/>
      <c r="H50" s="102"/>
    </row>
    <row r="51" spans="1:12" ht="18.75" x14ac:dyDescent="0.3">
      <c r="C51" s="77" t="s">
        <v>81</v>
      </c>
      <c r="D51" s="123">
        <f>STDEV(E38:E41,G38:G41)/D50</f>
        <v>1.0608519498460926E-2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2" t="s">
        <v>83</v>
      </c>
      <c r="B55" s="128" t="str">
        <f>B21</f>
        <v xml:space="preserve">Each Tablet contins Nevirapine USP 200mg </v>
      </c>
    </row>
    <row r="56" spans="1:12" ht="26.25" customHeight="1" x14ac:dyDescent="0.4">
      <c r="A56" s="129" t="s">
        <v>84</v>
      </c>
      <c r="B56" s="130">
        <v>200</v>
      </c>
      <c r="C56" s="52" t="str">
        <f>B20</f>
        <v>Nevirapine USP</v>
      </c>
      <c r="H56" s="131"/>
    </row>
    <row r="57" spans="1:12" ht="18.75" x14ac:dyDescent="0.3">
      <c r="A57" s="128" t="s">
        <v>85</v>
      </c>
      <c r="B57" s="220">
        <f>Uniformity!C46</f>
        <v>802.67200000000003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5" t="s">
        <v>86</v>
      </c>
      <c r="B59" s="76">
        <v>250</v>
      </c>
      <c r="C59" s="52"/>
      <c r="D59" s="132" t="s">
        <v>87</v>
      </c>
      <c r="E59" s="133" t="s">
        <v>59</v>
      </c>
      <c r="F59" s="133" t="s">
        <v>60</v>
      </c>
      <c r="G59" s="133" t="s">
        <v>88</v>
      </c>
      <c r="H59" s="79" t="s">
        <v>89</v>
      </c>
      <c r="L59" s="65"/>
    </row>
    <row r="60" spans="1:12" s="3" customFormat="1" ht="26.25" customHeight="1" x14ac:dyDescent="0.4">
      <c r="A60" s="77" t="s">
        <v>90</v>
      </c>
      <c r="B60" s="78">
        <v>3</v>
      </c>
      <c r="C60" s="310" t="s">
        <v>91</v>
      </c>
      <c r="D60" s="313">
        <v>797.9</v>
      </c>
      <c r="E60" s="134">
        <v>1</v>
      </c>
      <c r="F60" s="135"/>
      <c r="G60" s="221" t="str">
        <f>IF(ISBLANK(F60),"-",(F60/$D$50*$D$47*$B$68)*($B$57/$D$60))</f>
        <v>-</v>
      </c>
      <c r="H60" s="136" t="str">
        <f t="shared" ref="H60:H71" si="0">IF(ISBLANK(F60),"-",G60/$B$56)</f>
        <v>-</v>
      </c>
      <c r="L60" s="65"/>
    </row>
    <row r="61" spans="1:12" s="3" customFormat="1" ht="26.25" customHeight="1" x14ac:dyDescent="0.4">
      <c r="A61" s="77" t="s">
        <v>92</v>
      </c>
      <c r="B61" s="78">
        <v>100</v>
      </c>
      <c r="C61" s="311"/>
      <c r="D61" s="314"/>
      <c r="E61" s="137">
        <v>2</v>
      </c>
      <c r="F61" s="89"/>
      <c r="G61" s="222" t="str">
        <f>IF(ISBLANK(F61),"-",(F61/$D$50*$D$47*$B$68)*($B$57/$D$60))</f>
        <v>-</v>
      </c>
      <c r="H61" s="138" t="str">
        <f t="shared" si="0"/>
        <v>-</v>
      </c>
      <c r="L61" s="65"/>
    </row>
    <row r="62" spans="1:12" s="3" customFormat="1" ht="26.25" customHeight="1" x14ac:dyDescent="0.4">
      <c r="A62" s="77" t="s">
        <v>93</v>
      </c>
      <c r="B62" s="78">
        <v>1</v>
      </c>
      <c r="C62" s="311"/>
      <c r="D62" s="314"/>
      <c r="E62" s="137">
        <v>3</v>
      </c>
      <c r="F62" s="139"/>
      <c r="G62" s="222" t="str">
        <f>IF(ISBLANK(F62),"-",(F62/$D$50*$D$47*$B$68)*($B$57/$D$60))</f>
        <v>-</v>
      </c>
      <c r="H62" s="138" t="str">
        <f t="shared" si="0"/>
        <v>-</v>
      </c>
      <c r="L62" s="65"/>
    </row>
    <row r="63" spans="1:12" ht="27" customHeight="1" x14ac:dyDescent="0.4">
      <c r="A63" s="77" t="s">
        <v>94</v>
      </c>
      <c r="B63" s="78">
        <v>1</v>
      </c>
      <c r="C63" s="321"/>
      <c r="D63" s="315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95</v>
      </c>
      <c r="B64" s="78">
        <v>1</v>
      </c>
      <c r="C64" s="310" t="s">
        <v>96</v>
      </c>
      <c r="D64" s="313">
        <v>787.59</v>
      </c>
      <c r="E64" s="134">
        <v>1</v>
      </c>
      <c r="F64" s="135">
        <v>183127535</v>
      </c>
      <c r="G64" s="223">
        <f>IF(ISBLANK(F64),"-",(F64/$D$50*$D$47*$B$68)*($B$57/$D$64))</f>
        <v>203.2690402518767</v>
      </c>
      <c r="H64" s="142">
        <f t="shared" si="0"/>
        <v>1.0163452012593834</v>
      </c>
    </row>
    <row r="65" spans="1:8" ht="26.25" customHeight="1" x14ac:dyDescent="0.4">
      <c r="A65" s="77" t="s">
        <v>97</v>
      </c>
      <c r="B65" s="78">
        <v>1</v>
      </c>
      <c r="C65" s="311"/>
      <c r="D65" s="314"/>
      <c r="E65" s="137">
        <v>2</v>
      </c>
      <c r="F65" s="89">
        <v>183492871</v>
      </c>
      <c r="G65" s="224">
        <f>IF(ISBLANK(F65),"-",(F65/$D$50*$D$47*$B$68)*($B$57/$D$64))</f>
        <v>203.67455817734577</v>
      </c>
      <c r="H65" s="143">
        <f t="shared" si="0"/>
        <v>1.0183727908867288</v>
      </c>
    </row>
    <row r="66" spans="1:8" ht="26.25" customHeight="1" x14ac:dyDescent="0.4">
      <c r="A66" s="77" t="s">
        <v>98</v>
      </c>
      <c r="B66" s="78">
        <v>1</v>
      </c>
      <c r="C66" s="311"/>
      <c r="D66" s="314"/>
      <c r="E66" s="137">
        <v>3</v>
      </c>
      <c r="F66" s="89">
        <v>183219748</v>
      </c>
      <c r="G66" s="224">
        <f>IF(ISBLANK(F66),"-",(F66/$D$50*$D$47*$B$68)*($B$57/$D$64))</f>
        <v>203.37139541113089</v>
      </c>
      <c r="H66" s="143">
        <f t="shared" si="0"/>
        <v>1.0168569770556544</v>
      </c>
    </row>
    <row r="67" spans="1:8" ht="27" customHeight="1" x14ac:dyDescent="0.4">
      <c r="A67" s="77" t="s">
        <v>99</v>
      </c>
      <c r="B67" s="78">
        <v>1</v>
      </c>
      <c r="C67" s="321"/>
      <c r="D67" s="315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7" t="s">
        <v>100</v>
      </c>
      <c r="B68" s="145">
        <f>(B67/B66)*(B65/B64)*(B63/B62)*(B61/B60)*B59</f>
        <v>8333.3333333333339</v>
      </c>
      <c r="C68" s="310" t="s">
        <v>101</v>
      </c>
      <c r="D68" s="313">
        <v>791.43</v>
      </c>
      <c r="E68" s="134">
        <v>1</v>
      </c>
      <c r="F68" s="135">
        <v>188167978</v>
      </c>
      <c r="G68" s="223">
        <f>IF(ISBLANK(F68),"-",(F68/$D$50*$D$47*$B$68)*($B$57/$D$68))</f>
        <v>207.8504599061763</v>
      </c>
      <c r="H68" s="138">
        <f t="shared" si="0"/>
        <v>1.0392522995308815</v>
      </c>
    </row>
    <row r="69" spans="1:8" ht="27" customHeight="1" x14ac:dyDescent="0.4">
      <c r="A69" s="124" t="s">
        <v>102</v>
      </c>
      <c r="B69" s="146">
        <f>(D47*B68)/B56*B57</f>
        <v>836.1166666666669</v>
      </c>
      <c r="C69" s="311"/>
      <c r="D69" s="314"/>
      <c r="E69" s="137">
        <v>2</v>
      </c>
      <c r="F69" s="89">
        <v>185633216</v>
      </c>
      <c r="G69" s="224">
        <f>IF(ISBLANK(F69),"-",(F69/$D$50*$D$47*$B$68)*($B$57/$D$68))</f>
        <v>205.05056030023638</v>
      </c>
      <c r="H69" s="138">
        <f t="shared" si="0"/>
        <v>1.0252528015011819</v>
      </c>
    </row>
    <row r="70" spans="1:8" ht="26.25" customHeight="1" x14ac:dyDescent="0.4">
      <c r="A70" s="316" t="s">
        <v>75</v>
      </c>
      <c r="B70" s="317"/>
      <c r="C70" s="311"/>
      <c r="D70" s="314"/>
      <c r="E70" s="137">
        <v>3</v>
      </c>
      <c r="F70" s="89">
        <v>187262870</v>
      </c>
      <c r="G70" s="224">
        <f>IF(ISBLANK(F70),"-",(F70/$D$50*$D$47*$B$68)*($B$57/$D$68))</f>
        <v>206.85067707349495</v>
      </c>
      <c r="H70" s="138">
        <f t="shared" si="0"/>
        <v>1.0342533853674747</v>
      </c>
    </row>
    <row r="71" spans="1:8" ht="27" customHeight="1" x14ac:dyDescent="0.4">
      <c r="A71" s="318"/>
      <c r="B71" s="319"/>
      <c r="C71" s="312"/>
      <c r="D71" s="315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68</v>
      </c>
      <c r="G72" s="230">
        <f>AVERAGE(G60:G71)</f>
        <v>205.01111518671016</v>
      </c>
      <c r="H72" s="151">
        <f>AVERAGE(H60:H71)</f>
        <v>1.0250555759335509</v>
      </c>
    </row>
    <row r="73" spans="1:8" ht="26.25" customHeight="1" x14ac:dyDescent="0.4">
      <c r="C73" s="148"/>
      <c r="D73" s="148"/>
      <c r="E73" s="148"/>
      <c r="F73" s="152" t="s">
        <v>81</v>
      </c>
      <c r="G73" s="226">
        <f>STDEV(G60:G71)/G72</f>
        <v>9.4978647197760425E-3</v>
      </c>
      <c r="H73" s="226">
        <f>STDEV(H60:H71)/H72</f>
        <v>9.4978647197760651E-3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1" t="s">
        <v>103</v>
      </c>
      <c r="B76" s="156" t="s">
        <v>104</v>
      </c>
      <c r="C76" s="297" t="str">
        <f>B20</f>
        <v>Nevirapine USP</v>
      </c>
      <c r="D76" s="297"/>
      <c r="E76" s="157" t="s">
        <v>105</v>
      </c>
      <c r="F76" s="157"/>
      <c r="G76" s="158">
        <f>H72</f>
        <v>1.0250555759335509</v>
      </c>
      <c r="H76" s="159"/>
    </row>
    <row r="77" spans="1:8" ht="18.75" x14ac:dyDescent="0.3">
      <c r="A77" s="60" t="s">
        <v>106</v>
      </c>
      <c r="B77" s="60" t="s">
        <v>107</v>
      </c>
    </row>
    <row r="78" spans="1:8" ht="18.75" x14ac:dyDescent="0.3">
      <c r="A78" s="60"/>
      <c r="B78" s="60"/>
    </row>
    <row r="79" spans="1:8" ht="26.25" customHeight="1" x14ac:dyDescent="0.4">
      <c r="A79" s="61" t="s">
        <v>4</v>
      </c>
      <c r="B79" s="320" t="str">
        <f>B26</f>
        <v>Nevirapine</v>
      </c>
      <c r="C79" s="320"/>
    </row>
    <row r="80" spans="1:8" ht="26.25" customHeight="1" x14ac:dyDescent="0.4">
      <c r="A80" s="62" t="s">
        <v>45</v>
      </c>
      <c r="B80" s="320" t="str">
        <f>B27</f>
        <v>N1-2</v>
      </c>
      <c r="C80" s="320"/>
    </row>
    <row r="81" spans="1:12" ht="27" customHeight="1" x14ac:dyDescent="0.4">
      <c r="A81" s="62" t="s">
        <v>6</v>
      </c>
      <c r="B81" s="160">
        <f>B28</f>
        <v>99.15</v>
      </c>
    </row>
    <row r="82" spans="1:12" s="3" customFormat="1" ht="27" customHeight="1" x14ac:dyDescent="0.4">
      <c r="A82" s="62" t="s">
        <v>46</v>
      </c>
      <c r="B82" s="64">
        <v>0</v>
      </c>
      <c r="C82" s="299" t="s">
        <v>47</v>
      </c>
      <c r="D82" s="300"/>
      <c r="E82" s="300"/>
      <c r="F82" s="300"/>
      <c r="G82" s="301"/>
      <c r="I82" s="65"/>
      <c r="J82" s="65"/>
      <c r="K82" s="65"/>
      <c r="L82" s="65"/>
    </row>
    <row r="83" spans="1:12" s="3" customFormat="1" ht="19.5" customHeight="1" x14ac:dyDescent="0.3">
      <c r="A83" s="62" t="s">
        <v>48</v>
      </c>
      <c r="B83" s="66">
        <f>B81-B82</f>
        <v>99.15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3" customFormat="1" ht="27" customHeight="1" x14ac:dyDescent="0.4">
      <c r="A84" s="62" t="s">
        <v>49</v>
      </c>
      <c r="B84" s="69">
        <v>1</v>
      </c>
      <c r="C84" s="302" t="s">
        <v>108</v>
      </c>
      <c r="D84" s="303"/>
      <c r="E84" s="303"/>
      <c r="F84" s="303"/>
      <c r="G84" s="303"/>
      <c r="H84" s="304"/>
      <c r="I84" s="65"/>
      <c r="J84" s="65"/>
      <c r="K84" s="65"/>
      <c r="L84" s="65"/>
    </row>
    <row r="85" spans="1:12" s="3" customFormat="1" ht="27" customHeight="1" x14ac:dyDescent="0.4">
      <c r="A85" s="62" t="s">
        <v>51</v>
      </c>
      <c r="B85" s="69">
        <v>1</v>
      </c>
      <c r="C85" s="302" t="s">
        <v>109</v>
      </c>
      <c r="D85" s="303"/>
      <c r="E85" s="303"/>
      <c r="F85" s="303"/>
      <c r="G85" s="303"/>
      <c r="H85" s="304"/>
      <c r="I85" s="65"/>
      <c r="J85" s="65"/>
      <c r="K85" s="65"/>
      <c r="L85" s="65"/>
    </row>
    <row r="86" spans="1:12" s="3" customFormat="1" ht="18.75" x14ac:dyDescent="0.3">
      <c r="A86" s="62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3" customFormat="1" ht="18.75" x14ac:dyDescent="0.3">
      <c r="A87" s="62" t="s">
        <v>53</v>
      </c>
      <c r="B87" s="74">
        <f>B84/B85</f>
        <v>1</v>
      </c>
      <c r="C87" s="52" t="s">
        <v>54</v>
      </c>
      <c r="D87" s="52"/>
      <c r="E87" s="52"/>
      <c r="F87" s="52"/>
      <c r="G87" s="52"/>
      <c r="I87" s="65"/>
      <c r="J87" s="65"/>
      <c r="K87" s="65"/>
      <c r="L87" s="65"/>
    </row>
    <row r="88" spans="1:12" ht="19.5" customHeight="1" x14ac:dyDescent="0.3">
      <c r="A88" s="60"/>
      <c r="B88" s="60"/>
    </row>
    <row r="89" spans="1:12" ht="27" customHeight="1" x14ac:dyDescent="0.4">
      <c r="A89" s="75" t="s">
        <v>55</v>
      </c>
      <c r="B89" s="76">
        <v>50</v>
      </c>
      <c r="D89" s="161" t="s">
        <v>56</v>
      </c>
      <c r="E89" s="162"/>
      <c r="F89" s="305" t="s">
        <v>57</v>
      </c>
      <c r="G89" s="306"/>
    </row>
    <row r="90" spans="1:12" ht="27" customHeight="1" x14ac:dyDescent="0.4">
      <c r="A90" s="77" t="s">
        <v>58</v>
      </c>
      <c r="B90" s="78">
        <v>3</v>
      </c>
      <c r="C90" s="163" t="s">
        <v>59</v>
      </c>
      <c r="D90" s="80" t="s">
        <v>60</v>
      </c>
      <c r="E90" s="81" t="s">
        <v>61</v>
      </c>
      <c r="F90" s="80" t="s">
        <v>60</v>
      </c>
      <c r="G90" s="164" t="s">
        <v>61</v>
      </c>
      <c r="I90" s="83" t="s">
        <v>62</v>
      </c>
    </row>
    <row r="91" spans="1:12" ht="26.25" customHeight="1" x14ac:dyDescent="0.4">
      <c r="A91" s="77" t="s">
        <v>63</v>
      </c>
      <c r="B91" s="78">
        <v>100</v>
      </c>
      <c r="C91" s="165">
        <v>1</v>
      </c>
      <c r="D91" s="233">
        <v>87775179</v>
      </c>
      <c r="E91" s="85">
        <f>IF(ISBLANK(D91),"-",$D$101/$D$98*D91)</f>
        <v>81833669.943829253</v>
      </c>
      <c r="F91" s="233">
        <v>83698496</v>
      </c>
      <c r="G91" s="86">
        <f>IF(ISBLANK(F91),"-",$D$101/$F$98*F91)</f>
        <v>81632368.508202121</v>
      </c>
      <c r="I91" s="87"/>
    </row>
    <row r="92" spans="1:12" ht="26.25" customHeight="1" x14ac:dyDescent="0.4">
      <c r="A92" s="77" t="s">
        <v>64</v>
      </c>
      <c r="B92" s="78">
        <v>1</v>
      </c>
      <c r="C92" s="149">
        <v>2</v>
      </c>
      <c r="D92" s="234">
        <v>87763493</v>
      </c>
      <c r="E92" s="90">
        <f>IF(ISBLANK(D92),"-",$D$101/$D$98*D92)</f>
        <v>81822774.97012645</v>
      </c>
      <c r="F92" s="234">
        <v>85028510</v>
      </c>
      <c r="G92" s="91">
        <f>IF(ISBLANK(F92),"-",$D$101/$F$98*F92)</f>
        <v>82929550.634020343</v>
      </c>
      <c r="I92" s="307">
        <f>ABS((F96/D96*D95)-F95)/D95</f>
        <v>6.8213232171410931E-3</v>
      </c>
    </row>
    <row r="93" spans="1:12" ht="26.25" customHeight="1" x14ac:dyDescent="0.4">
      <c r="A93" s="77" t="s">
        <v>65</v>
      </c>
      <c r="B93" s="78">
        <v>1</v>
      </c>
      <c r="C93" s="149">
        <v>3</v>
      </c>
      <c r="D93" s="234">
        <v>87879450</v>
      </c>
      <c r="E93" s="90">
        <f>IF(ISBLANK(D93),"-",$D$101/$D$98*D93)</f>
        <v>81930882.831298411</v>
      </c>
      <c r="F93" s="234">
        <v>84873034</v>
      </c>
      <c r="G93" s="91">
        <f>IF(ISBLANK(F93),"-",$D$101/$F$98*F93)</f>
        <v>82777912.615026772</v>
      </c>
      <c r="I93" s="307"/>
    </row>
    <row r="94" spans="1:12" ht="27" customHeight="1" x14ac:dyDescent="0.4">
      <c r="A94" s="77" t="s">
        <v>66</v>
      </c>
      <c r="B94" s="78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7" t="s">
        <v>67</v>
      </c>
      <c r="B95" s="78">
        <v>1</v>
      </c>
      <c r="C95" s="168" t="s">
        <v>68</v>
      </c>
      <c r="D95" s="169">
        <f>AVERAGE(D91:D94)</f>
        <v>87806040.666666672</v>
      </c>
      <c r="E95" s="100">
        <f>AVERAGE(E91:E94)</f>
        <v>81862442.581751361</v>
      </c>
      <c r="F95" s="170">
        <f>AVERAGE(F91:F94)</f>
        <v>84533346.666666672</v>
      </c>
      <c r="G95" s="171">
        <f>AVERAGE(G91:G94)</f>
        <v>82446610.585749745</v>
      </c>
    </row>
    <row r="96" spans="1:12" ht="26.25" customHeight="1" x14ac:dyDescent="0.4">
      <c r="A96" s="77" t="s">
        <v>69</v>
      </c>
      <c r="B96" s="63">
        <v>1</v>
      </c>
      <c r="C96" s="172" t="s">
        <v>110</v>
      </c>
      <c r="D96" s="173">
        <v>24.04</v>
      </c>
      <c r="E96" s="92"/>
      <c r="F96" s="104">
        <v>22.98</v>
      </c>
    </row>
    <row r="97" spans="1:10" ht="26.25" customHeight="1" x14ac:dyDescent="0.4">
      <c r="A97" s="77" t="s">
        <v>71</v>
      </c>
      <c r="B97" s="63">
        <v>1</v>
      </c>
      <c r="C97" s="174" t="s">
        <v>111</v>
      </c>
      <c r="D97" s="175">
        <f>D96*$B$87</f>
        <v>24.04</v>
      </c>
      <c r="E97" s="107"/>
      <c r="F97" s="106">
        <f>F96*$B$87</f>
        <v>22.98</v>
      </c>
    </row>
    <row r="98" spans="1:10" ht="19.5" customHeight="1" x14ac:dyDescent="0.3">
      <c r="A98" s="77" t="s">
        <v>73</v>
      </c>
      <c r="B98" s="176">
        <f>(B97/B96)*(B95/B94)*(B93/B92)*(B91/B90)*B89</f>
        <v>1666.6666666666667</v>
      </c>
      <c r="C98" s="174" t="s">
        <v>112</v>
      </c>
      <c r="D98" s="177">
        <f>D97*$B$83/100</f>
        <v>23.835660000000004</v>
      </c>
      <c r="E98" s="110"/>
      <c r="F98" s="109">
        <f>F97*$B$83/100</f>
        <v>22.784670000000002</v>
      </c>
    </row>
    <row r="99" spans="1:10" ht="19.5" customHeight="1" x14ac:dyDescent="0.3">
      <c r="A99" s="293" t="s">
        <v>75</v>
      </c>
      <c r="B99" s="308"/>
      <c r="C99" s="174" t="s">
        <v>113</v>
      </c>
      <c r="D99" s="178">
        <f>D98/$B$98</f>
        <v>1.4301396000000003E-2</v>
      </c>
      <c r="E99" s="110"/>
      <c r="F99" s="113">
        <f>F98/$B$98</f>
        <v>1.3670802000000001E-2</v>
      </c>
      <c r="G99" s="179"/>
      <c r="H99" s="102"/>
    </row>
    <row r="100" spans="1:10" ht="19.5" customHeight="1" x14ac:dyDescent="0.3">
      <c r="A100" s="295"/>
      <c r="B100" s="309"/>
      <c r="C100" s="174" t="s">
        <v>77</v>
      </c>
      <c r="D100" s="180">
        <f>$B$56/$B$116</f>
        <v>1.3333333333333332E-2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22.222222222222221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22.222222222222221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82154526.583750561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6.7221894900710722E-3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5" t="s">
        <v>115</v>
      </c>
      <c r="B107" s="76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7" t="s">
        <v>119</v>
      </c>
      <c r="B108" s="78">
        <v>3</v>
      </c>
      <c r="C108" s="195">
        <v>1</v>
      </c>
      <c r="D108" s="196">
        <v>77401749</v>
      </c>
      <c r="E108" s="227">
        <f t="shared" ref="E108:E113" si="1">IF(ISBLANK(D108),"-",D108/$D$103*$D$100*$B$116)</f>
        <v>188.42966351000646</v>
      </c>
      <c r="F108" s="197">
        <f t="shared" ref="F108:F113" si="2">IF(ISBLANK(D108), "-", E108/$B$56)</f>
        <v>0.94214831755003237</v>
      </c>
    </row>
    <row r="109" spans="1:10" ht="26.25" customHeight="1" x14ac:dyDescent="0.4">
      <c r="A109" s="77" t="s">
        <v>92</v>
      </c>
      <c r="B109" s="78">
        <v>50</v>
      </c>
      <c r="C109" s="195">
        <v>2</v>
      </c>
      <c r="D109" s="196">
        <v>88374915</v>
      </c>
      <c r="E109" s="228">
        <f t="shared" si="1"/>
        <v>215.14314225865135</v>
      </c>
      <c r="F109" s="198">
        <f t="shared" si="2"/>
        <v>1.0757157112932567</v>
      </c>
    </row>
    <row r="110" spans="1:10" ht="26.25" customHeight="1" x14ac:dyDescent="0.4">
      <c r="A110" s="77" t="s">
        <v>93</v>
      </c>
      <c r="B110" s="78">
        <v>1</v>
      </c>
      <c r="C110" s="195">
        <v>3</v>
      </c>
      <c r="D110" s="196">
        <v>88933276</v>
      </c>
      <c r="E110" s="228">
        <f t="shared" si="1"/>
        <v>216.50243680569201</v>
      </c>
      <c r="F110" s="198">
        <f t="shared" si="2"/>
        <v>1.0825121840284602</v>
      </c>
    </row>
    <row r="111" spans="1:10" ht="26.25" customHeight="1" x14ac:dyDescent="0.4">
      <c r="A111" s="77" t="s">
        <v>94</v>
      </c>
      <c r="B111" s="78">
        <v>1</v>
      </c>
      <c r="C111" s="195">
        <v>4</v>
      </c>
      <c r="D111" s="196">
        <v>77257682</v>
      </c>
      <c r="E111" s="228">
        <f t="shared" si="1"/>
        <v>188.07894150845459</v>
      </c>
      <c r="F111" s="198">
        <f t="shared" si="2"/>
        <v>0.94039470754227295</v>
      </c>
    </row>
    <row r="112" spans="1:10" ht="26.25" customHeight="1" x14ac:dyDescent="0.4">
      <c r="A112" s="77" t="s">
        <v>95</v>
      </c>
      <c r="B112" s="78">
        <v>1</v>
      </c>
      <c r="C112" s="195">
        <v>5</v>
      </c>
      <c r="D112" s="196">
        <v>88340847</v>
      </c>
      <c r="E112" s="228">
        <f t="shared" si="1"/>
        <v>215.06020586691091</v>
      </c>
      <c r="F112" s="198">
        <f t="shared" si="2"/>
        <v>1.0753010293345546</v>
      </c>
    </row>
    <row r="113" spans="1:10" ht="26.25" customHeight="1" x14ac:dyDescent="0.4">
      <c r="A113" s="77" t="s">
        <v>97</v>
      </c>
      <c r="B113" s="78">
        <v>1</v>
      </c>
      <c r="C113" s="199">
        <v>6</v>
      </c>
      <c r="D113" s="200">
        <v>89669820</v>
      </c>
      <c r="E113" s="229">
        <f t="shared" si="1"/>
        <v>218.29550659898979</v>
      </c>
      <c r="F113" s="201">
        <f t="shared" si="2"/>
        <v>1.0914775329949489</v>
      </c>
    </row>
    <row r="114" spans="1:10" ht="26.25" customHeight="1" x14ac:dyDescent="0.4">
      <c r="A114" s="77" t="s">
        <v>98</v>
      </c>
      <c r="B114" s="78">
        <v>1</v>
      </c>
      <c r="C114" s="195"/>
      <c r="D114" s="149"/>
      <c r="E114" s="51"/>
      <c r="F114" s="202"/>
    </row>
    <row r="115" spans="1:10" ht="26.25" customHeight="1" x14ac:dyDescent="0.4">
      <c r="A115" s="77" t="s">
        <v>99</v>
      </c>
      <c r="B115" s="78">
        <v>1</v>
      </c>
      <c r="C115" s="195"/>
      <c r="D115" s="203" t="s">
        <v>68</v>
      </c>
      <c r="E115" s="231">
        <f>AVERAGE(E108:E113)</f>
        <v>206.91831609145086</v>
      </c>
      <c r="F115" s="204">
        <f>AVERAGE(F108:F113)</f>
        <v>1.0345915804572543</v>
      </c>
    </row>
    <row r="116" spans="1:10" ht="27" customHeight="1" x14ac:dyDescent="0.4">
      <c r="A116" s="77" t="s">
        <v>100</v>
      </c>
      <c r="B116" s="108">
        <f>(B115/B114)*(B113/B112)*(B111/B110)*(B109/B108)*B107</f>
        <v>15000.000000000002</v>
      </c>
      <c r="C116" s="205"/>
      <c r="D116" s="168" t="s">
        <v>81</v>
      </c>
      <c r="E116" s="206">
        <f>STDEV(E108:E113)/E115</f>
        <v>7.0100497430233194E-2</v>
      </c>
      <c r="F116" s="206">
        <f>STDEV(F108:F113)/F115</f>
        <v>7.010049743023318E-2</v>
      </c>
      <c r="I116" s="51"/>
    </row>
    <row r="117" spans="1:10" ht="27" customHeight="1" x14ac:dyDescent="0.4">
      <c r="A117" s="293" t="s">
        <v>75</v>
      </c>
      <c r="B117" s="294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1"/>
      <c r="J117" s="188"/>
    </row>
    <row r="118" spans="1:10" ht="19.5" customHeight="1" x14ac:dyDescent="0.3">
      <c r="A118" s="295"/>
      <c r="B118" s="296"/>
      <c r="C118" s="51"/>
      <c r="D118" s="51"/>
      <c r="E118" s="51"/>
      <c r="F118" s="149"/>
      <c r="G118" s="51"/>
      <c r="H118" s="51"/>
      <c r="I118" s="51"/>
    </row>
    <row r="119" spans="1:10" ht="18.75" x14ac:dyDescent="0.3">
      <c r="A119" s="218"/>
      <c r="B119" s="73"/>
      <c r="C119" s="51"/>
      <c r="D119" s="51"/>
      <c r="E119" s="51"/>
      <c r="F119" s="149"/>
      <c r="G119" s="51"/>
      <c r="H119" s="51"/>
      <c r="I119" s="51"/>
    </row>
    <row r="120" spans="1:10" ht="26.25" customHeight="1" x14ac:dyDescent="0.4">
      <c r="A120" s="61" t="s">
        <v>103</v>
      </c>
      <c r="B120" s="156" t="s">
        <v>120</v>
      </c>
      <c r="C120" s="297" t="str">
        <f>B20</f>
        <v>Nevirapine USP</v>
      </c>
      <c r="D120" s="297"/>
      <c r="E120" s="157" t="s">
        <v>121</v>
      </c>
      <c r="F120" s="157"/>
      <c r="G120" s="158">
        <f>F115</f>
        <v>1.0345915804572543</v>
      </c>
      <c r="H120" s="51"/>
      <c r="I120" s="51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298" t="s">
        <v>23</v>
      </c>
      <c r="C122" s="298"/>
      <c r="E122" s="163" t="s">
        <v>24</v>
      </c>
      <c r="F122" s="212"/>
      <c r="G122" s="298" t="s">
        <v>25</v>
      </c>
      <c r="H122" s="298"/>
    </row>
    <row r="123" spans="1:10" ht="69.95" customHeight="1" x14ac:dyDescent="0.3">
      <c r="A123" s="213" t="s">
        <v>26</v>
      </c>
      <c r="B123" s="214"/>
      <c r="C123" s="214"/>
      <c r="E123" s="214"/>
      <c r="F123" s="51"/>
      <c r="G123" s="215"/>
      <c r="H123" s="215"/>
    </row>
    <row r="124" spans="1:10" ht="69.95" customHeight="1" x14ac:dyDescent="0.3">
      <c r="A124" s="213" t="s">
        <v>27</v>
      </c>
      <c r="B124" s="216"/>
      <c r="C124" s="216"/>
      <c r="E124" s="216"/>
      <c r="F124" s="51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1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1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1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1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1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1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1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1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8:I27"/>
  <sheetViews>
    <sheetView workbookViewId="0">
      <selection activeCell="I18" sqref="I18"/>
    </sheetView>
  </sheetViews>
  <sheetFormatPr defaultRowHeight="12.75" x14ac:dyDescent="0.2"/>
  <sheetData>
    <row r="18" spans="6:9" x14ac:dyDescent="0.2">
      <c r="G18">
        <v>802</v>
      </c>
      <c r="I18" s="4">
        <f>20/100*G18</f>
        <v>160.4</v>
      </c>
    </row>
    <row r="19" spans="6:9" x14ac:dyDescent="0.2">
      <c r="G19">
        <f>72</f>
        <v>72</v>
      </c>
    </row>
    <row r="24" spans="6:9" x14ac:dyDescent="0.2">
      <c r="F24">
        <v>362</v>
      </c>
    </row>
    <row r="25" spans="6:9" x14ac:dyDescent="0.2">
      <c r="G25">
        <f>362+F27</f>
        <v>434.4</v>
      </c>
    </row>
    <row r="27" spans="6:9" x14ac:dyDescent="0.2">
      <c r="F27">
        <f>20/100*362</f>
        <v>72.400000000000006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(2)</vt:lpstr>
      <vt:lpstr>Uniformity</vt:lpstr>
      <vt:lpstr>NEVIRAPINE</vt:lpstr>
      <vt:lpstr>Sheet1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Muteru</cp:lastModifiedBy>
  <cp:lastPrinted>2016-06-24T09:36:07Z</cp:lastPrinted>
  <dcterms:created xsi:type="dcterms:W3CDTF">2005-07-05T10:19:27Z</dcterms:created>
  <dcterms:modified xsi:type="dcterms:W3CDTF">2016-06-24T09:37:25Z</dcterms:modified>
  <cp:category/>
</cp:coreProperties>
</file>