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15015" windowHeight="7620"/>
  </bookViews>
  <sheets>
    <sheet name="SST (2)" sheetId="4" r:id="rId1"/>
    <sheet name="Uniformity" sheetId="3" r:id="rId2"/>
    <sheet name="NEVIRAPINE" sheetId="2" r:id="rId3"/>
    <sheet name="Sheet3" sheetId="5" r:id="rId4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F24" i="5" l="1"/>
  <c r="F26" i="5"/>
  <c r="B53" i="4"/>
  <c r="E51" i="4"/>
  <c r="D51" i="4"/>
  <c r="C51" i="4"/>
  <c r="B51" i="4"/>
  <c r="B52" i="4" s="1"/>
  <c r="B42" i="4"/>
  <c r="B32" i="4"/>
  <c r="E30" i="4"/>
  <c r="D30" i="4"/>
  <c r="C30" i="4"/>
  <c r="B30" i="4"/>
  <c r="B31" i="4" s="1"/>
  <c r="B21" i="4"/>
  <c r="C19" i="3"/>
  <c r="C45" i="3"/>
  <c r="C46" i="3"/>
  <c r="D24" i="3" s="1"/>
  <c r="C50" i="3"/>
  <c r="C120" i="2"/>
  <c r="B116" i="2"/>
  <c r="D100" i="2" s="1"/>
  <c r="B98" i="2"/>
  <c r="F95" i="2"/>
  <c r="D95" i="2"/>
  <c r="B87" i="2"/>
  <c r="D97" i="2" s="1"/>
  <c r="B81" i="2"/>
  <c r="B83" i="2" s="1"/>
  <c r="B80" i="2"/>
  <c r="B79" i="2"/>
  <c r="C76" i="2"/>
  <c r="B68" i="2"/>
  <c r="C56" i="2"/>
  <c r="B55" i="2"/>
  <c r="B45" i="2"/>
  <c r="D48" i="2" s="1"/>
  <c r="F42" i="2"/>
  <c r="D42" i="2"/>
  <c r="B34" i="2"/>
  <c r="D44" i="2" s="1"/>
  <c r="B30" i="2"/>
  <c r="C49" i="3" l="1"/>
  <c r="I92" i="2"/>
  <c r="D101" i="2"/>
  <c r="E93" i="2" s="1"/>
  <c r="D43" i="3"/>
  <c r="D41" i="3"/>
  <c r="D39" i="3"/>
  <c r="D37" i="3"/>
  <c r="D35" i="3"/>
  <c r="D33" i="3"/>
  <c r="D31" i="3"/>
  <c r="D29" i="3"/>
  <c r="D27" i="3"/>
  <c r="D25" i="3"/>
  <c r="D50" i="3"/>
  <c r="D49" i="3"/>
  <c r="B49" i="3"/>
  <c r="B57" i="2" s="1"/>
  <c r="B69" i="2" s="1"/>
  <c r="D42" i="3"/>
  <c r="D40" i="3"/>
  <c r="D38" i="3"/>
  <c r="D36" i="3"/>
  <c r="D34" i="3"/>
  <c r="D32" i="3"/>
  <c r="D30" i="3"/>
  <c r="D28" i="3"/>
  <c r="D26" i="3"/>
  <c r="I39" i="2"/>
  <c r="D98" i="2"/>
  <c r="D99" i="2" s="1"/>
  <c r="D45" i="2"/>
  <c r="D46" i="2" s="1"/>
  <c r="D49" i="2"/>
  <c r="E41" i="2"/>
  <c r="E39" i="2"/>
  <c r="E38" i="2"/>
  <c r="E94" i="2"/>
  <c r="E91" i="2"/>
  <c r="F44" i="2"/>
  <c r="F45" i="2" s="1"/>
  <c r="F46" i="2" s="1"/>
  <c r="F97" i="2"/>
  <c r="F98" i="2" s="1"/>
  <c r="F99" i="2" s="1"/>
  <c r="E92" i="2" l="1"/>
  <c r="D102" i="2"/>
  <c r="E40" i="2"/>
  <c r="E42" i="2" s="1"/>
  <c r="G94" i="2"/>
  <c r="G91" i="2"/>
  <c r="E95" i="2"/>
  <c r="G40" i="2"/>
  <c r="G38" i="2"/>
  <c r="G93" i="2"/>
  <c r="G92" i="2"/>
  <c r="G41" i="2"/>
  <c r="G39" i="2"/>
  <c r="D105" i="2" l="1"/>
  <c r="D50" i="2"/>
  <c r="D51" i="2" s="1"/>
  <c r="D52" i="2"/>
  <c r="D103" i="2"/>
  <c r="E113" i="2" s="1"/>
  <c r="F113" i="2" s="1"/>
  <c r="G42" i="2"/>
  <c r="G95" i="2"/>
  <c r="E112" i="2"/>
  <c r="F112" i="2" s="1"/>
  <c r="E111" i="2"/>
  <c r="F111" i="2" s="1"/>
  <c r="E110" i="2"/>
  <c r="F110" i="2" s="1"/>
  <c r="E109" i="2"/>
  <c r="F109" i="2" s="1"/>
  <c r="E108" i="2"/>
  <c r="D104" i="2"/>
  <c r="G71" i="2"/>
  <c r="H71" i="2" s="1"/>
  <c r="G70" i="2"/>
  <c r="H70" i="2" s="1"/>
  <c r="G69" i="2"/>
  <c r="H69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G68" i="2"/>
  <c r="H68" i="2" s="1"/>
  <c r="G74" i="2" l="1"/>
  <c r="G72" i="2"/>
  <c r="G73" i="2" s="1"/>
  <c r="H60" i="2"/>
  <c r="E117" i="2"/>
  <c r="F108" i="2"/>
  <c r="E115" i="2"/>
  <c r="E116" i="2" s="1"/>
  <c r="F115" i="2" l="1"/>
  <c r="F117" i="2"/>
  <c r="H74" i="2"/>
  <c r="H72" i="2"/>
  <c r="G120" i="2" l="1"/>
  <c r="F116" i="2"/>
  <c r="G76" i="2"/>
  <c r="H73" i="2"/>
</calcChain>
</file>

<file path=xl/sharedStrings.xml><?xml version="1.0" encoding="utf-8"?>
<sst xmlns="http://schemas.openxmlformats.org/spreadsheetml/2006/main" count="233" uniqueCount="129">
  <si>
    <t>HPLC System Suitability Report</t>
  </si>
  <si>
    <t>Analysis Data</t>
  </si>
  <si>
    <t>Assay</t>
  </si>
  <si>
    <t>Sample(s)</t>
  </si>
  <si>
    <t>Reference Substance:</t>
  </si>
  <si>
    <t>NEVIRAPINE 200MG TABLETS USP</t>
  </si>
  <si>
    <t>% age Purity:</t>
  </si>
  <si>
    <t>NDQD201606991</t>
  </si>
  <si>
    <t>Weight (mg):</t>
  </si>
  <si>
    <t>Nevirapine USP</t>
  </si>
  <si>
    <t>Standard Conc (mg/mL):</t>
  </si>
  <si>
    <t xml:space="preserve">Each Tablet contins Nevirapine USP 200mg </t>
  </si>
  <si>
    <t>2016-06-08 14:05:40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</si>
  <si>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</si>
  <si>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</si>
  <si>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</si>
  <si>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</si>
  <si>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</si>
  <si>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</si>
  <si>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</si>
  <si>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</si>
  <si>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</si>
  <si>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</si>
  <si>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</si>
  <si>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</si>
  <si>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</si>
  <si>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</si>
  <si>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</si>
  <si>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</si>
  <si>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</si>
  <si>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</si>
  <si>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</si>
  <si>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</si>
  <si>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</si>
  <si>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</si>
  <si>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</si>
  <si>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</si>
  <si>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</si>
  <si>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</si>
  <si>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</si>
  <si>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</si>
  <si>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</si>
  <si>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</si>
  <si>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</si>
  <si>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</si>
  <si>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</si>
  <si>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</si>
  <si>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</si>
  <si>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</si>
  <si>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</si>
  <si>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</si>
  <si>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</si>
  <si>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</si>
  <si>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</si>
  <si>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</si>
  <si>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</si>
  <si>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</si>
  <si>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</si>
  <si>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</si>
  <si>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</si>
  <si>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</si>
  <si>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</si>
  <si>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</si>
  <si>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</si>
  <si>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</si>
  <si>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</si>
  <si>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</si>
  <si>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</si>
  <si>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</si>
  <si>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</si>
  <si>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</si>
  <si>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</si>
  <si>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</si>
  <si>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</si>
  <si>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</si>
  <si>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</si>
  <si>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</si>
  <si>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</si>
  <si>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</si>
  <si>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</si>
  <si>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</si>
  <si>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</si>
  <si>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</si>
  <si>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</si>
  <si>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</si>
  <si>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</si>
  <si>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</si>
  <si>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</si>
  <si>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</si>
  <si>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</si>
  <si>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</si>
  <si>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</si>
  <si>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</si>
  <si>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</si>
  <si>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</si>
  <si>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</si>
  <si>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</si>
  <si>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</si>
  <si>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</si>
  <si>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</si>
  <si>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</si>
  <si>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</si>
  <si>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</si>
  <si>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</si>
  <si>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</si>
  <si>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</si>
  <si>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</si>
  <si>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</si>
  <si>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</si>
  <si>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</si>
  <si>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</si>
  <si>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</si>
  <si>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</si>
  <si>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</si>
  <si>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</si>
  <si>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Nevirapine</t>
  </si>
  <si>
    <t>N1-2</t>
  </si>
  <si>
    <t>% Deviation from mean</t>
  </si>
  <si>
    <t>Average</t>
  </si>
  <si>
    <t>Total</t>
  </si>
  <si>
    <t>% Deviation</t>
  </si>
  <si>
    <t>Tablet weight (mg)</t>
  </si>
  <si>
    <t>Uniformity of weight</t>
  </si>
  <si>
    <t>Uniformity of Weight Test Report</t>
  </si>
  <si>
    <t xml:space="preserve">NEVIRAPINE TABLETS USP 200MG 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</si>
  <si>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</si>
  <si>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</si>
  <si>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</si>
  <si>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NDQB201605991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</si>
</sst>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dd\-mmm\-yyyy"/>
    <numFmt numFmtId="167" formatCode="dd\-mmm\-yy"/>
    <numFmt numFmtId="168" formatCode="0.0000\ &quot;mg&quot;"/>
    <numFmt numFmtId="169" formatCode="0.000"/>
    <numFmt numFmtId="170" formatCode="0.0000"/>
    <numFmt numFmtId="171" formatCode="0.0\ &quot;mg&quot;"/>
    <numFmt numFmtId="172" formatCode="[$-409]d/mmm/yy;@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20"/>
      <color rgb="FF000000"/>
      <name val="Book Antiqua"/>
      <family val="1"/>
    </font>
    <font>
      <sz val="12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0" fillId="2" borderId="0"/>
    <xf numFmtId="0" fontId="20" fillId="2" borderId="0"/>
  </cellStyleXfs>
  <cellXfs count="326">
    <xf numFmtId="0" fontId="0" fillId="2" borderId="0" xfId="0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10" fillId="3" borderId="0" xfId="0" applyFont="1" applyFill="1" applyAlignment="1" applyProtection="1">
      <alignment horizontal="left"/>
      <protection locked="0"/>
    </xf>
    <xf numFmtId="0" fontId="7" fillId="3" borderId="0" xfId="0" applyFont="1" applyFill="1" applyProtection="1">
      <protection locked="0"/>
    </xf>
    <xf numFmtId="166" fontId="10" fillId="3" borderId="0" xfId="0" applyNumberFormat="1" applyFont="1" applyFill="1" applyAlignment="1" applyProtection="1">
      <alignment horizontal="center"/>
      <protection locked="0"/>
    </xf>
    <xf numFmtId="167" fontId="7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9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center"/>
    </xf>
    <xf numFmtId="0" fontId="12" fillId="2" borderId="0" xfId="0" applyFont="1" applyFill="1"/>
    <xf numFmtId="0" fontId="13" fillId="2" borderId="0" xfId="0" applyFont="1" applyFill="1"/>
    <xf numFmtId="2" fontId="9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vertical="center" wrapText="1"/>
    </xf>
    <xf numFmtId="0" fontId="14" fillId="2" borderId="0" xfId="0" applyFont="1" applyFill="1"/>
    <xf numFmtId="2" fontId="8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 vertical="center" wrapText="1"/>
    </xf>
    <xf numFmtId="168" fontId="8" fillId="2" borderId="0" xfId="0" applyNumberFormat="1" applyFont="1" applyFill="1" applyAlignment="1">
      <alignment horizontal="center"/>
    </xf>
    <xf numFmtId="0" fontId="7" fillId="2" borderId="12" xfId="0" applyFont="1" applyFill="1" applyBorder="1" applyAlignment="1">
      <alignment horizontal="right"/>
    </xf>
    <xf numFmtId="0" fontId="9" fillId="3" borderId="13" xfId="0" applyFont="1" applyFill="1" applyBorder="1" applyAlignment="1" applyProtection="1">
      <alignment horizontal="center"/>
      <protection locked="0"/>
    </xf>
    <xf numFmtId="0" fontId="7" fillId="2" borderId="14" xfId="0" applyFont="1" applyFill="1" applyBorder="1" applyAlignment="1">
      <alignment horizontal="right"/>
    </xf>
    <xf numFmtId="0" fontId="9" fillId="3" borderId="15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169" fontId="7" fillId="2" borderId="17" xfId="0" applyNumberFormat="1" applyFont="1" applyFill="1" applyBorder="1" applyAlignment="1">
      <alignment horizontal="center"/>
    </xf>
    <xf numFmtId="169" fontId="7" fillId="2" borderId="22" xfId="0" applyNumberFormat="1" applyFont="1" applyFill="1" applyBorder="1" applyAlignment="1">
      <alignment horizontal="center"/>
    </xf>
    <xf numFmtId="0" fontId="14" fillId="2" borderId="23" xfId="0" applyFont="1" applyFill="1" applyBorder="1"/>
    <xf numFmtId="0" fontId="7" fillId="2" borderId="15" xfId="0" applyFont="1" applyFill="1" applyBorder="1" applyAlignment="1">
      <alignment horizontal="center"/>
    </xf>
    <xf numFmtId="0" fontId="9" fillId="3" borderId="14" xfId="0" applyFont="1" applyFill="1" applyBorder="1" applyAlignment="1" applyProtection="1">
      <alignment horizontal="center"/>
      <protection locked="0"/>
    </xf>
    <xf numFmtId="169" fontId="7" fillId="2" borderId="24" xfId="0" applyNumberFormat="1" applyFont="1" applyFill="1" applyBorder="1" applyAlignment="1">
      <alignment horizontal="center"/>
    </xf>
    <xf numFmtId="169" fontId="7" fillId="2" borderId="25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26" xfId="0" applyFont="1" applyFill="1" applyBorder="1" applyAlignment="1">
      <alignment horizontal="center"/>
    </xf>
    <xf numFmtId="0" fontId="9" fillId="3" borderId="27" xfId="0" applyFont="1" applyFill="1" applyBorder="1" applyAlignment="1" applyProtection="1">
      <alignment horizontal="center"/>
      <protection locked="0"/>
    </xf>
    <xf numFmtId="169" fontId="7" fillId="2" borderId="28" xfId="0" applyNumberFormat="1" applyFont="1" applyFill="1" applyBorder="1" applyAlignment="1">
      <alignment horizontal="center"/>
    </xf>
    <xf numFmtId="169" fontId="7" fillId="2" borderId="29" xfId="0" applyNumberFormat="1" applyFont="1" applyFill="1" applyBorder="1" applyAlignment="1">
      <alignment horizontal="center"/>
    </xf>
    <xf numFmtId="0" fontId="7" fillId="2" borderId="30" xfId="0" applyFont="1" applyFill="1" applyBorder="1"/>
    <xf numFmtId="0" fontId="7" fillId="2" borderId="15" xfId="0" applyFont="1" applyFill="1" applyBorder="1" applyAlignment="1">
      <alignment horizontal="right"/>
    </xf>
    <xf numFmtId="1" fontId="8" fillId="6" borderId="31" xfId="0" applyNumberFormat="1" applyFont="1" applyFill="1" applyBorder="1" applyAlignment="1">
      <alignment horizontal="center"/>
    </xf>
    <xf numFmtId="169" fontId="8" fillId="6" borderId="32" xfId="0" applyNumberFormat="1" applyFont="1" applyFill="1" applyBorder="1" applyAlignment="1">
      <alignment horizontal="center"/>
    </xf>
    <xf numFmtId="169" fontId="8" fillId="6" borderId="3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7" fillId="2" borderId="34" xfId="0" applyFont="1" applyFill="1" applyBorder="1" applyAlignment="1">
      <alignment horizontal="right"/>
    </xf>
    <xf numFmtId="0" fontId="9" fillId="3" borderId="35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>
      <alignment horizontal="right"/>
    </xf>
    <xf numFmtId="2" fontId="7" fillId="6" borderId="36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5" xfId="0" applyFont="1" applyFill="1" applyBorder="1" applyAlignment="1">
      <alignment horizontal="center"/>
    </xf>
    <xf numFmtId="2" fontId="7" fillId="7" borderId="36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170" fontId="7" fillId="6" borderId="36" xfId="0" applyNumberFormat="1" applyFont="1" applyFill="1" applyBorder="1" applyAlignment="1">
      <alignment horizontal="center"/>
    </xf>
    <xf numFmtId="170" fontId="7" fillId="2" borderId="0" xfId="0" applyNumberFormat="1" applyFont="1" applyFill="1" applyAlignment="1">
      <alignment horizontal="center"/>
    </xf>
    <xf numFmtId="170" fontId="7" fillId="6" borderId="37" xfId="0" applyNumberFormat="1" applyFont="1" applyFill="1" applyBorder="1" applyAlignment="1">
      <alignment horizontal="center"/>
    </xf>
    <xf numFmtId="0" fontId="7" fillId="2" borderId="38" xfId="0" applyFont="1" applyFill="1" applyBorder="1" applyAlignment="1">
      <alignment horizontal="right"/>
    </xf>
    <xf numFmtId="170" fontId="9" fillId="3" borderId="36" xfId="0" applyNumberFormat="1" applyFont="1" applyFill="1" applyBorder="1" applyAlignment="1" applyProtection="1">
      <alignment horizontal="center"/>
      <protection locked="0"/>
    </xf>
    <xf numFmtId="170" fontId="7" fillId="2" borderId="0" xfId="0" applyNumberFormat="1" applyFont="1" applyFill="1"/>
    <xf numFmtId="0" fontId="7" fillId="2" borderId="21" xfId="0" applyFont="1" applyFill="1" applyBorder="1" applyAlignment="1">
      <alignment horizontal="right"/>
    </xf>
    <xf numFmtId="1" fontId="7" fillId="2" borderId="0" xfId="0" applyNumberFormat="1" applyFont="1" applyFill="1" applyAlignment="1">
      <alignment horizontal="center"/>
    </xf>
    <xf numFmtId="0" fontId="7" fillId="2" borderId="30" xfId="0" applyFont="1" applyFill="1" applyBorder="1" applyAlignment="1">
      <alignment horizontal="right"/>
    </xf>
    <xf numFmtId="2" fontId="7" fillId="6" borderId="30" xfId="0" applyNumberFormat="1" applyFont="1" applyFill="1" applyBorder="1" applyAlignment="1">
      <alignment horizontal="center"/>
    </xf>
    <xf numFmtId="169" fontId="8" fillId="7" borderId="23" xfId="0" applyNumberFormat="1" applyFont="1" applyFill="1" applyBorder="1" applyAlignment="1">
      <alignment horizontal="center"/>
    </xf>
    <xf numFmtId="169" fontId="7" fillId="2" borderId="0" xfId="0" applyNumberFormat="1" applyFont="1" applyFill="1" applyAlignment="1">
      <alignment horizontal="center"/>
    </xf>
    <xf numFmtId="10" fontId="7" fillId="6" borderId="36" xfId="0" applyNumberFormat="1" applyFont="1" applyFill="1" applyBorder="1" applyAlignment="1">
      <alignment horizontal="center"/>
    </xf>
    <xf numFmtId="0" fontId="7" fillId="2" borderId="39" xfId="0" applyFont="1" applyFill="1" applyBorder="1" applyAlignment="1">
      <alignment horizontal="right"/>
    </xf>
    <xf numFmtId="0" fontId="7" fillId="7" borderId="30" xfId="0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71" fontId="9" fillId="3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2" fontId="8" fillId="2" borderId="23" xfId="0" applyNumberFormat="1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9" fillId="3" borderId="12" xfId="0" applyFont="1" applyFill="1" applyBorder="1" applyAlignment="1" applyProtection="1">
      <alignment horizontal="center"/>
      <protection locked="0"/>
    </xf>
    <xf numFmtId="10" fontId="7" fillId="2" borderId="23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/>
    </xf>
    <xf numFmtId="10" fontId="7" fillId="2" borderId="40" xfId="0" applyNumberFormat="1" applyFont="1" applyFill="1" applyBorder="1" applyAlignment="1">
      <alignment horizontal="center" vertical="center"/>
    </xf>
    <xf numFmtId="1" fontId="9" fillId="3" borderId="14" xfId="0" applyNumberFormat="1" applyFont="1" applyFill="1" applyBorder="1" applyAlignment="1" applyProtection="1">
      <alignment horizontal="center"/>
      <protection locked="0"/>
    </xf>
    <xf numFmtId="0" fontId="7" fillId="2" borderId="30" xfId="0" applyFont="1" applyFill="1" applyBorder="1" applyAlignment="1">
      <alignment horizontal="center"/>
    </xf>
    <xf numFmtId="0" fontId="9" fillId="3" borderId="39" xfId="0" applyFont="1" applyFill="1" applyBorder="1" applyAlignment="1" applyProtection="1">
      <alignment horizontal="center"/>
      <protection locked="0"/>
    </xf>
    <xf numFmtId="10" fontId="7" fillId="2" borderId="13" xfId="0" applyNumberFormat="1" applyFont="1" applyFill="1" applyBorder="1" applyAlignment="1">
      <alignment horizontal="center" vertical="center"/>
    </xf>
    <xf numFmtId="10" fontId="7" fillId="2" borderId="15" xfId="0" applyNumberFormat="1" applyFont="1" applyFill="1" applyBorder="1" applyAlignment="1">
      <alignment horizontal="center" vertical="center"/>
    </xf>
    <xf numFmtId="10" fontId="7" fillId="2" borderId="41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/>
    </xf>
    <xf numFmtId="2" fontId="10" fillId="2" borderId="41" xfId="0" applyNumberFormat="1" applyFont="1" applyFill="1" applyBorder="1" applyAlignment="1">
      <alignment horizontal="center"/>
    </xf>
    <xf numFmtId="10" fontId="7" fillId="2" borderId="3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42" xfId="0" applyFont="1" applyFill="1" applyBorder="1" applyAlignment="1">
      <alignment horizontal="right"/>
    </xf>
    <xf numFmtId="10" fontId="9" fillId="7" borderId="26" xfId="0" applyNumberFormat="1" applyFont="1" applyFill="1" applyBorder="1" applyAlignment="1">
      <alignment horizontal="center"/>
    </xf>
    <xf numFmtId="0" fontId="7" fillId="2" borderId="36" xfId="0" applyFont="1" applyFill="1" applyBorder="1" applyAlignment="1">
      <alignment horizontal="right"/>
    </xf>
    <xf numFmtId="2" fontId="7" fillId="2" borderId="0" xfId="0" applyNumberFormat="1" applyFont="1" applyFill="1" applyAlignment="1">
      <alignment horizontal="center"/>
    </xf>
    <xf numFmtId="0" fontId="7" fillId="2" borderId="37" xfId="0" applyFont="1" applyFill="1" applyBorder="1" applyAlignment="1">
      <alignment horizontal="right"/>
    </xf>
    <xf numFmtId="0" fontId="9" fillId="7" borderId="43" xfId="0" applyFont="1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165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 applyProtection="1">
      <alignment horizontal="center"/>
      <protection locked="0"/>
    </xf>
    <xf numFmtId="0" fontId="8" fillId="2" borderId="4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169" fontId="9" fillId="3" borderId="27" xfId="0" applyNumberFormat="1" applyFont="1" applyFill="1" applyBorder="1" applyAlignment="1" applyProtection="1">
      <alignment horizontal="center"/>
      <protection locked="0"/>
    </xf>
    <xf numFmtId="0" fontId="7" fillId="2" borderId="0" xfId="0" applyFont="1" applyFill="1" applyAlignment="1">
      <alignment horizontal="right"/>
    </xf>
    <xf numFmtId="1" fontId="8" fillId="6" borderId="46" xfId="0" applyNumberFormat="1" applyFont="1" applyFill="1" applyBorder="1" applyAlignment="1">
      <alignment horizontal="center"/>
    </xf>
    <xf numFmtId="1" fontId="8" fillId="6" borderId="47" xfId="0" applyNumberFormat="1" applyFont="1" applyFill="1" applyBorder="1" applyAlignment="1">
      <alignment horizontal="center"/>
    </xf>
    <xf numFmtId="169" fontId="8" fillId="6" borderId="30" xfId="0" applyNumberFormat="1" applyFont="1" applyFill="1" applyBorder="1" applyAlignment="1">
      <alignment horizontal="center"/>
    </xf>
    <xf numFmtId="0" fontId="7" fillId="2" borderId="48" xfId="0" applyFont="1" applyFill="1" applyBorder="1" applyAlignment="1">
      <alignment horizontal="right"/>
    </xf>
    <xf numFmtId="0" fontId="9" fillId="3" borderId="49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Alignment="1">
      <alignment horizontal="right"/>
    </xf>
    <xf numFmtId="2" fontId="7" fillId="6" borderId="18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7" fillId="7" borderId="18" xfId="0" applyNumberFormat="1" applyFont="1" applyFill="1" applyBorder="1" applyAlignment="1">
      <alignment horizontal="center"/>
    </xf>
    <xf numFmtId="170" fontId="7" fillId="6" borderId="18" xfId="0" applyNumberFormat="1" applyFont="1" applyFill="1" applyBorder="1" applyAlignment="1">
      <alignment horizontal="center"/>
    </xf>
    <xf numFmtId="0" fontId="2" fillId="2" borderId="0" xfId="0" applyFont="1" applyFill="1"/>
    <xf numFmtId="170" fontId="7" fillId="7" borderId="1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7" fillId="2" borderId="50" xfId="0" applyFont="1" applyFill="1" applyBorder="1" applyAlignment="1">
      <alignment horizontal="right"/>
    </xf>
    <xf numFmtId="2" fontId="7" fillId="7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 wrapText="1"/>
    </xf>
    <xf numFmtId="0" fontId="7" fillId="2" borderId="35" xfId="0" applyFont="1" applyFill="1" applyBorder="1" applyAlignment="1">
      <alignment horizontal="right"/>
    </xf>
    <xf numFmtId="169" fontId="8" fillId="7" borderId="35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7" fillId="2" borderId="0" xfId="0" applyNumberFormat="1" applyFont="1" applyFill="1" applyAlignment="1">
      <alignment horizontal="center"/>
    </xf>
    <xf numFmtId="10" fontId="8" fillId="6" borderId="36" xfId="0" applyNumberFormat="1" applyFont="1" applyFill="1" applyBorder="1" applyAlignment="1">
      <alignment horizontal="center"/>
    </xf>
    <xf numFmtId="0" fontId="8" fillId="7" borderId="37" xfId="0" applyFont="1" applyFill="1" applyBorder="1" applyAlignment="1">
      <alignment horizontal="center"/>
    </xf>
    <xf numFmtId="0" fontId="8" fillId="2" borderId="44" xfId="0" applyFont="1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8" fillId="2" borderId="5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 wrapText="1"/>
    </xf>
    <xf numFmtId="0" fontId="7" fillId="2" borderId="14" xfId="0" applyFont="1" applyFill="1" applyBorder="1" applyAlignment="1">
      <alignment horizontal="center"/>
    </xf>
    <xf numFmtId="1" fontId="9" fillId="3" borderId="24" xfId="0" applyNumberFormat="1" applyFont="1" applyFill="1" applyBorder="1" applyAlignment="1" applyProtection="1">
      <alignment horizontal="center"/>
      <protection locked="0"/>
    </xf>
    <xf numFmtId="10" fontId="7" fillId="2" borderId="22" xfId="0" applyNumberFormat="1" applyFont="1" applyFill="1" applyBorder="1" applyAlignment="1">
      <alignment horizontal="center"/>
    </xf>
    <xf numFmtId="10" fontId="7" fillId="2" borderId="25" xfId="0" applyNumberFormat="1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1" fontId="9" fillId="3" borderId="28" xfId="0" applyNumberFormat="1" applyFont="1" applyFill="1" applyBorder="1" applyAlignment="1" applyProtection="1">
      <alignment horizontal="center"/>
      <protection locked="0"/>
    </xf>
    <xf numFmtId="10" fontId="7" fillId="2" borderId="29" xfId="0" applyNumberFormat="1" applyFont="1" applyFill="1" applyBorder="1" applyAlignment="1">
      <alignment horizontal="center"/>
    </xf>
    <xf numFmtId="2" fontId="7" fillId="2" borderId="15" xfId="0" applyNumberFormat="1" applyFont="1" applyFill="1" applyBorder="1" applyAlignment="1">
      <alignment horizontal="center"/>
    </xf>
    <xf numFmtId="169" fontId="7" fillId="2" borderId="2" xfId="0" applyNumberFormat="1" applyFont="1" applyFill="1" applyBorder="1" applyAlignment="1">
      <alignment horizontal="right"/>
    </xf>
    <xf numFmtId="10" fontId="9" fillId="7" borderId="18" xfId="0" applyNumberFormat="1" applyFont="1" applyFill="1" applyBorder="1" applyAlignment="1">
      <alignment horizontal="center"/>
    </xf>
    <xf numFmtId="0" fontId="7" fillId="2" borderId="14" xfId="0" applyFont="1" applyFill="1" applyBorder="1"/>
    <xf numFmtId="10" fontId="9" fillId="6" borderId="18" xfId="0" applyNumberFormat="1" applyFont="1" applyFill="1" applyBorder="1" applyAlignment="1">
      <alignment horizontal="center"/>
    </xf>
    <xf numFmtId="0" fontId="7" fillId="2" borderId="39" xfId="0" applyFont="1" applyFill="1" applyBorder="1"/>
    <xf numFmtId="0" fontId="7" fillId="2" borderId="53" xfId="0" applyFont="1" applyFill="1" applyBorder="1" applyAlignment="1">
      <alignment horizontal="right"/>
    </xf>
    <xf numFmtId="0" fontId="9" fillId="7" borderId="37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left" vertical="center" wrapText="1"/>
    </xf>
    <xf numFmtId="0" fontId="7" fillId="2" borderId="9" xfId="0" applyFont="1" applyFill="1" applyBorder="1"/>
    <xf numFmtId="0" fontId="7" fillId="2" borderId="10" xfId="0" applyFont="1" applyFill="1" applyBorder="1" applyAlignment="1">
      <alignment horizontal="center"/>
    </xf>
    <xf numFmtId="0" fontId="8" fillId="2" borderId="0" xfId="0" applyFont="1" applyFill="1" applyAlignment="1">
      <alignment horizontal="right"/>
    </xf>
    <xf numFmtId="0" fontId="7" fillId="2" borderId="7" xfId="0" applyFont="1" applyFill="1" applyBorder="1"/>
    <xf numFmtId="0" fontId="7" fillId="2" borderId="7" xfId="0" applyFont="1" applyFill="1" applyBorder="1"/>
    <xf numFmtId="0" fontId="8" fillId="2" borderId="11" xfId="0" applyFont="1" applyFill="1" applyBorder="1"/>
    <xf numFmtId="0" fontId="7" fillId="2" borderId="11" xfId="0" applyFont="1" applyFill="1" applyBorder="1"/>
    <xf numFmtId="0" fontId="15" fillId="2" borderId="0" xfId="0" applyFont="1" applyFill="1" applyAlignment="1">
      <alignment horizontal="right" vertical="center" wrapText="1"/>
    </xf>
    <xf numFmtId="0" fontId="9" fillId="2" borderId="0" xfId="0" applyFont="1" applyFill="1" applyAlignment="1" applyProtection="1">
      <alignment horizontal="right"/>
      <protection locked="0"/>
    </xf>
    <xf numFmtId="170" fontId="8" fillId="2" borderId="0" xfId="0" applyNumberFormat="1" applyFont="1" applyFill="1" applyAlignment="1" applyProtection="1">
      <alignment horizontal="center"/>
      <protection locked="0"/>
    </xf>
    <xf numFmtId="170" fontId="7" fillId="2" borderId="12" xfId="0" applyNumberFormat="1" applyFont="1" applyFill="1" applyBorder="1" applyAlignment="1">
      <alignment horizontal="center"/>
    </xf>
    <xf numFmtId="170" fontId="7" fillId="2" borderId="14" xfId="0" applyNumberFormat="1" applyFont="1" applyFill="1" applyBorder="1" applyAlignment="1">
      <alignment horizontal="center"/>
    </xf>
    <xf numFmtId="170" fontId="7" fillId="2" borderId="23" xfId="0" applyNumberFormat="1" applyFont="1" applyFill="1" applyBorder="1" applyAlignment="1">
      <alignment horizontal="center"/>
    </xf>
    <xf numFmtId="170" fontId="7" fillId="2" borderId="40" xfId="0" applyNumberFormat="1" applyFont="1" applyFill="1" applyBorder="1" applyAlignment="1">
      <alignment horizontal="center"/>
    </xf>
    <xf numFmtId="170" fontId="7" fillId="2" borderId="30" xfId="0" applyNumberFormat="1" applyFont="1" applyFill="1" applyBorder="1" applyAlignment="1">
      <alignment horizontal="center"/>
    </xf>
    <xf numFmtId="10" fontId="9" fillId="6" borderId="54" xfId="0" applyNumberFormat="1" applyFont="1" applyFill="1" applyBorder="1" applyAlignment="1">
      <alignment horizontal="center"/>
    </xf>
    <xf numFmtId="170" fontId="7" fillId="2" borderId="17" xfId="0" applyNumberFormat="1" applyFont="1" applyFill="1" applyBorder="1" applyAlignment="1">
      <alignment horizontal="center"/>
    </xf>
    <xf numFmtId="170" fontId="7" fillId="2" borderId="24" xfId="0" applyNumberFormat="1" applyFont="1" applyFill="1" applyBorder="1" applyAlignment="1">
      <alignment horizontal="center"/>
    </xf>
    <xf numFmtId="170" fontId="7" fillId="2" borderId="28" xfId="0" applyNumberFormat="1" applyFont="1" applyFill="1" applyBorder="1" applyAlignment="1">
      <alignment horizontal="center"/>
    </xf>
    <xf numFmtId="2" fontId="9" fillId="7" borderId="26" xfId="0" applyNumberFormat="1" applyFont="1" applyFill="1" applyBorder="1" applyAlignment="1">
      <alignment horizontal="center"/>
    </xf>
    <xf numFmtId="2" fontId="9" fillId="7" borderId="18" xfId="0" applyNumberFormat="1" applyFont="1" applyFill="1" applyBorder="1" applyAlignment="1">
      <alignment horizontal="center"/>
    </xf>
    <xf numFmtId="0" fontId="10" fillId="2" borderId="0" xfId="0" applyFont="1" applyFill="1"/>
    <xf numFmtId="0" fontId="21" fillId="3" borderId="21" xfId="0" applyFont="1" applyFill="1" applyBorder="1" applyAlignment="1" applyProtection="1">
      <alignment horizontal="center"/>
      <protection locked="0"/>
    </xf>
    <xf numFmtId="0" fontId="21" fillId="3" borderId="14" xfId="0" applyFont="1" applyFill="1" applyBorder="1" applyAlignment="1" applyProtection="1">
      <alignment horizontal="center"/>
      <protection locked="0"/>
    </xf>
    <xf numFmtId="0" fontId="0" fillId="2" borderId="0" xfId="1" applyFont="1" applyFill="1"/>
    <xf numFmtId="0" fontId="1" fillId="2" borderId="0" xfId="1" applyFont="1" applyFill="1"/>
    <xf numFmtId="0" fontId="6" fillId="2" borderId="11" xfId="1" applyFont="1" applyFill="1" applyBorder="1"/>
    <xf numFmtId="0" fontId="6" fillId="2" borderId="0" xfId="1" applyFont="1" applyFill="1"/>
    <xf numFmtId="0" fontId="5" fillId="2" borderId="11" xfId="1" applyFont="1" applyFill="1" applyBorder="1"/>
    <xf numFmtId="0" fontId="5" fillId="2" borderId="0" xfId="1" applyFont="1" applyFill="1"/>
    <xf numFmtId="0" fontId="5" fillId="2" borderId="0" xfId="1" applyFont="1" applyFill="1" applyAlignment="1">
      <alignment horizontal="right"/>
    </xf>
    <xf numFmtId="0" fontId="6" fillId="2" borderId="7" xfId="1" applyFont="1" applyFill="1" applyBorder="1"/>
    <xf numFmtId="0" fontId="5" fillId="2" borderId="10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5" fillId="2" borderId="10" xfId="1" applyFont="1" applyFill="1" applyBorder="1"/>
    <xf numFmtId="0" fontId="22" fillId="2" borderId="0" xfId="1" applyFont="1" applyFill="1"/>
    <xf numFmtId="10" fontId="6" fillId="2" borderId="9" xfId="1" applyNumberFormat="1" applyFont="1" applyFill="1" applyBorder="1"/>
    <xf numFmtId="0" fontId="6" fillId="2" borderId="0" xfId="1" applyFont="1" applyFill="1" applyAlignment="1">
      <alignment horizontal="center"/>
    </xf>
    <xf numFmtId="0" fontId="6" fillId="2" borderId="9" xfId="1" applyFont="1" applyFill="1" applyBorder="1"/>
    <xf numFmtId="2" fontId="5" fillId="2" borderId="19" xfId="1" applyNumberFormat="1" applyFont="1" applyFill="1" applyBorder="1" applyAlignment="1">
      <alignment horizontal="center" vertical="center"/>
    </xf>
    <xf numFmtId="165" fontId="5" fillId="2" borderId="37" xfId="1" applyNumberFormat="1" applyFont="1" applyFill="1" applyBorder="1" applyAlignment="1">
      <alignment horizontal="center"/>
    </xf>
    <xf numFmtId="165" fontId="5" fillId="2" borderId="35" xfId="1" applyNumberFormat="1" applyFont="1" applyFill="1" applyBorder="1" applyAlignment="1">
      <alignment horizontal="center"/>
    </xf>
    <xf numFmtId="2" fontId="23" fillId="2" borderId="0" xfId="1" applyNumberFormat="1" applyFont="1" applyFill="1"/>
    <xf numFmtId="10" fontId="2" fillId="2" borderId="0" xfId="1" applyNumberFormat="1" applyFont="1" applyFill="1"/>
    <xf numFmtId="0" fontId="5" fillId="2" borderId="19" xfId="1" applyFont="1" applyFill="1" applyBorder="1" applyAlignment="1">
      <alignment horizontal="center" wrapText="1"/>
    </xf>
    <xf numFmtId="0" fontId="5" fillId="2" borderId="19" xfId="1" applyFont="1" applyFill="1" applyBorder="1" applyAlignment="1">
      <alignment horizontal="center" vertical="center"/>
    </xf>
    <xf numFmtId="2" fontId="23" fillId="2" borderId="0" xfId="1" applyNumberFormat="1" applyFont="1" applyFill="1" applyAlignment="1">
      <alignment horizontal="right"/>
    </xf>
    <xf numFmtId="2" fontId="5" fillId="2" borderId="0" xfId="1" applyNumberFormat="1" applyFont="1" applyFill="1"/>
    <xf numFmtId="164" fontId="5" fillId="2" borderId="19" xfId="1" applyNumberFormat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right" vertical="center"/>
    </xf>
    <xf numFmtId="170" fontId="2" fillId="2" borderId="0" xfId="1" applyNumberFormat="1" applyFont="1" applyFill="1" applyAlignment="1">
      <alignment horizontal="center"/>
    </xf>
    <xf numFmtId="170" fontId="6" fillId="2" borderId="0" xfId="1" applyNumberFormat="1" applyFont="1" applyFill="1" applyAlignment="1">
      <alignment horizontal="center"/>
    </xf>
    <xf numFmtId="170" fontId="6" fillId="2" borderId="19" xfId="1" applyNumberFormat="1" applyFont="1" applyFill="1" applyBorder="1" applyAlignment="1">
      <alignment horizontal="center" vertical="center"/>
    </xf>
    <xf numFmtId="10" fontId="2" fillId="2" borderId="0" xfId="1" applyNumberFormat="1" applyFont="1" applyFill="1" applyAlignment="1">
      <alignment horizontal="center"/>
    </xf>
    <xf numFmtId="10" fontId="6" fillId="2" borderId="0" xfId="1" applyNumberFormat="1" applyFont="1" applyFill="1" applyAlignment="1">
      <alignment horizontal="center"/>
    </xf>
    <xf numFmtId="10" fontId="6" fillId="2" borderId="30" xfId="1" applyNumberFormat="1" applyFont="1" applyFill="1" applyBorder="1" applyAlignment="1">
      <alignment horizontal="center"/>
    </xf>
    <xf numFmtId="2" fontId="6" fillId="3" borderId="30" xfId="1" applyNumberFormat="1" applyFont="1" applyFill="1" applyBorder="1" applyProtection="1">
      <protection locked="0"/>
    </xf>
    <xf numFmtId="10" fontId="6" fillId="2" borderId="40" xfId="1" applyNumberFormat="1" applyFont="1" applyFill="1" applyBorder="1" applyAlignment="1">
      <alignment horizontal="center"/>
    </xf>
    <xf numFmtId="2" fontId="6" fillId="3" borderId="40" xfId="1" applyNumberFormat="1" applyFont="1" applyFill="1" applyBorder="1" applyProtection="1">
      <protection locked="0"/>
    </xf>
    <xf numFmtId="10" fontId="6" fillId="2" borderId="23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164" fontId="5" fillId="2" borderId="19" xfId="1" applyNumberFormat="1" applyFont="1" applyFill="1" applyBorder="1" applyAlignment="1">
      <alignment horizontal="center" wrapText="1"/>
    </xf>
    <xf numFmtId="164" fontId="1" fillId="2" borderId="0" xfId="1" applyNumberFormat="1" applyFont="1" applyFill="1"/>
    <xf numFmtId="0" fontId="4" fillId="2" borderId="0" xfId="1" applyFont="1" applyFill="1" applyAlignment="1">
      <alignment horizontal="left"/>
    </xf>
    <xf numFmtId="172" fontId="6" fillId="2" borderId="0" xfId="1" applyNumberFormat="1" applyFont="1" applyFill="1"/>
    <xf numFmtId="172" fontId="6" fillId="2" borderId="0" xfId="1" applyNumberFormat="1" applyFont="1" applyFill="1" applyAlignment="1">
      <alignment horizontal="center"/>
    </xf>
    <xf numFmtId="0" fontId="4" fillId="2" borderId="0" xfId="1" applyFont="1" applyFill="1"/>
    <xf numFmtId="0" fontId="24" fillId="2" borderId="0" xfId="1" applyFont="1" applyFill="1" applyAlignment="1">
      <alignment wrapText="1"/>
    </xf>
    <xf numFmtId="0" fontId="25" fillId="2" borderId="0" xfId="2" applyFont="1" applyFill="1"/>
    <xf numFmtId="0" fontId="26" fillId="2" borderId="0" xfId="2" applyFont="1" applyFill="1"/>
    <xf numFmtId="0" fontId="26" fillId="2" borderId="0" xfId="2" applyFont="1" applyFill="1" applyAlignment="1">
      <alignment horizontal="right"/>
    </xf>
    <xf numFmtId="0" fontId="28" fillId="2" borderId="0" xfId="2" applyFont="1" applyFill="1"/>
    <xf numFmtId="0" fontId="28" fillId="2" borderId="0" xfId="2" applyFont="1" applyFill="1" applyAlignment="1">
      <alignment horizontal="left"/>
    </xf>
    <xf numFmtId="0" fontId="29" fillId="2" borderId="0" xfId="2" applyFont="1" applyFill="1" applyAlignment="1">
      <alignment horizontal="left"/>
    </xf>
    <xf numFmtId="0" fontId="29" fillId="2" borderId="0" xfId="2" applyFont="1" applyFill="1" applyAlignment="1">
      <alignment horizontal="center"/>
    </xf>
    <xf numFmtId="0" fontId="30" fillId="2" borderId="0" xfId="2" applyFont="1" applyFill="1"/>
    <xf numFmtId="0" fontId="29" fillId="2" borderId="0" xfId="2" applyFont="1" applyFill="1"/>
    <xf numFmtId="2" fontId="29" fillId="2" borderId="0" xfId="2" applyNumberFormat="1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164" fontId="29" fillId="2" borderId="0" xfId="2" applyNumberFormat="1" applyFont="1" applyFill="1" applyAlignment="1">
      <alignment horizontal="center"/>
    </xf>
    <xf numFmtId="22" fontId="30" fillId="2" borderId="0" xfId="2" applyNumberFormat="1" applyFont="1" applyFill="1"/>
    <xf numFmtId="0" fontId="29" fillId="2" borderId="1" xfId="2" applyFont="1" applyFill="1" applyBorder="1" applyAlignment="1">
      <alignment horizontal="center"/>
    </xf>
    <xf numFmtId="0" fontId="29" fillId="2" borderId="2" xfId="2" applyFont="1" applyFill="1" applyBorder="1" applyAlignment="1">
      <alignment horizontal="center"/>
    </xf>
    <xf numFmtId="0" fontId="30" fillId="2" borderId="3" xfId="2" applyFont="1" applyFill="1" applyBorder="1" applyAlignment="1">
      <alignment horizontal="center"/>
    </xf>
    <xf numFmtId="0" fontId="31" fillId="3" borderId="3" xfId="2" applyFont="1" applyFill="1" applyBorder="1" applyAlignment="1" applyProtection="1">
      <alignment horizontal="center"/>
      <protection locked="0"/>
    </xf>
    <xf numFmtId="2" fontId="31" fillId="3" borderId="3" xfId="2" applyNumberFormat="1" applyFont="1" applyFill="1" applyBorder="1" applyAlignment="1" applyProtection="1">
      <alignment horizontal="center"/>
      <protection locked="0"/>
    </xf>
    <xf numFmtId="2" fontId="31" fillId="3" borderId="4" xfId="2" applyNumberFormat="1" applyFont="1" applyFill="1" applyBorder="1" applyAlignment="1" applyProtection="1">
      <alignment horizontal="center"/>
      <protection locked="0"/>
    </xf>
    <xf numFmtId="0" fontId="31" fillId="3" borderId="5" xfId="2" applyFont="1" applyFill="1" applyBorder="1" applyAlignment="1" applyProtection="1">
      <alignment horizontal="center"/>
      <protection locked="0"/>
    </xf>
    <xf numFmtId="2" fontId="31" fillId="3" borderId="5" xfId="2" applyNumberFormat="1" applyFont="1" applyFill="1" applyBorder="1" applyAlignment="1" applyProtection="1">
      <alignment horizontal="center"/>
      <protection locked="0"/>
    </xf>
    <xf numFmtId="0" fontId="30" fillId="2" borderId="4" xfId="2" applyFont="1" applyFill="1" applyBorder="1"/>
    <xf numFmtId="1" fontId="29" fillId="4" borderId="2" xfId="2" applyNumberFormat="1" applyFont="1" applyFill="1" applyBorder="1" applyAlignment="1">
      <alignment horizontal="center"/>
    </xf>
    <xf numFmtId="1" fontId="29" fillId="4" borderId="1" xfId="2" applyNumberFormat="1" applyFont="1" applyFill="1" applyBorder="1" applyAlignment="1">
      <alignment horizontal="center"/>
    </xf>
    <xf numFmtId="2" fontId="29" fillId="4" borderId="1" xfId="2" applyNumberFormat="1" applyFont="1" applyFill="1" applyBorder="1" applyAlignment="1">
      <alignment horizontal="center"/>
    </xf>
    <xf numFmtId="0" fontId="30" fillId="2" borderId="3" xfId="2" applyFont="1" applyFill="1" applyBorder="1"/>
    <xf numFmtId="10" fontId="29" fillId="5" borderId="1" xfId="2" applyNumberFormat="1" applyFont="1" applyFill="1" applyBorder="1" applyAlignment="1">
      <alignment horizontal="center"/>
    </xf>
    <xf numFmtId="165" fontId="29" fillId="2" borderId="0" xfId="2" applyNumberFormat="1" applyFont="1" applyFill="1" applyAlignment="1">
      <alignment horizontal="center"/>
    </xf>
    <xf numFmtId="0" fontId="30" fillId="2" borderId="6" xfId="2" applyFont="1" applyFill="1" applyBorder="1"/>
    <xf numFmtId="0" fontId="30" fillId="2" borderId="5" xfId="2" applyFont="1" applyFill="1" applyBorder="1"/>
    <xf numFmtId="0" fontId="29" fillId="4" borderId="1" xfId="2" applyFont="1" applyFill="1" applyBorder="1" applyAlignment="1">
      <alignment horizontal="center"/>
    </xf>
    <xf numFmtId="0" fontId="29" fillId="2" borderId="7" xfId="2" applyFont="1" applyFill="1" applyBorder="1" applyAlignment="1">
      <alignment horizontal="center"/>
    </xf>
    <xf numFmtId="0" fontId="30" fillId="2" borderId="7" xfId="2" applyFont="1" applyFill="1" applyBorder="1"/>
    <xf numFmtId="0" fontId="30" fillId="2" borderId="8" xfId="2" applyFont="1" applyFill="1" applyBorder="1"/>
    <xf numFmtId="0" fontId="30" fillId="2" borderId="0" xfId="2" applyFont="1" applyFill="1" applyAlignment="1" applyProtection="1">
      <alignment horizontal="left"/>
      <protection locked="0"/>
    </xf>
    <xf numFmtId="0" fontId="30" fillId="2" borderId="0" xfId="2" applyFont="1" applyFill="1" applyProtection="1">
      <protection locked="0"/>
    </xf>
    <xf numFmtId="0" fontId="26" fillId="2" borderId="9" xfId="2" applyFont="1" applyFill="1" applyBorder="1"/>
    <xf numFmtId="0" fontId="26" fillId="2" borderId="0" xfId="2" applyFont="1" applyFill="1" applyAlignment="1">
      <alignment horizontal="center"/>
    </xf>
    <xf numFmtId="10" fontId="26" fillId="2" borderId="9" xfId="2" applyNumberFormat="1" applyFont="1" applyFill="1" applyBorder="1"/>
    <xf numFmtId="0" fontId="0" fillId="2" borderId="0" xfId="2" applyFont="1" applyFill="1"/>
    <xf numFmtId="0" fontId="25" fillId="2" borderId="10" xfId="2" applyFont="1" applyFill="1" applyBorder="1" applyAlignment="1">
      <alignment horizontal="center"/>
    </xf>
    <xf numFmtId="0" fontId="26" fillId="2" borderId="10" xfId="2" applyFont="1" applyFill="1" applyBorder="1" applyAlignment="1">
      <alignment horizontal="center"/>
    </xf>
    <xf numFmtId="0" fontId="25" fillId="2" borderId="0" xfId="2" applyFont="1" applyFill="1" applyAlignment="1">
      <alignment horizontal="right"/>
    </xf>
    <xf numFmtId="0" fontId="26" fillId="2" borderId="7" xfId="2" applyFont="1" applyFill="1" applyBorder="1"/>
    <xf numFmtId="0" fontId="25" fillId="2" borderId="11" xfId="2" applyFont="1" applyFill="1" applyBorder="1"/>
    <xf numFmtId="0" fontId="26" fillId="2" borderId="11" xfId="2" applyFont="1" applyFill="1" applyBorder="1"/>
    <xf numFmtId="0" fontId="27" fillId="2" borderId="0" xfId="2" applyFont="1" applyFill="1" applyAlignment="1">
      <alignment horizontal="center"/>
    </xf>
    <xf numFmtId="0" fontId="25" fillId="2" borderId="10" xfId="2" applyFont="1" applyFill="1" applyBorder="1" applyAlignment="1">
      <alignment horizontal="center"/>
    </xf>
    <xf numFmtId="0" fontId="5" fillId="2" borderId="0" xfId="1" applyFont="1" applyFill="1" applyAlignment="1">
      <alignment horizontal="right"/>
    </xf>
    <xf numFmtId="0" fontId="4" fillId="2" borderId="0" xfId="1" applyFont="1" applyFill="1" applyAlignment="1">
      <alignment horizontal="center"/>
    </xf>
    <xf numFmtId="170" fontId="5" fillId="2" borderId="23" xfId="1" applyNumberFormat="1" applyFont="1" applyFill="1" applyBorder="1" applyAlignment="1">
      <alignment horizontal="center" vertical="center"/>
    </xf>
    <xf numFmtId="170" fontId="5" fillId="2" borderId="30" xfId="1" applyNumberFormat="1" applyFont="1" applyFill="1" applyBorder="1" applyAlignment="1">
      <alignment horizontal="center" vertical="center"/>
    </xf>
    <xf numFmtId="0" fontId="24" fillId="2" borderId="55" xfId="1" applyFont="1" applyFill="1" applyBorder="1" applyAlignment="1">
      <alignment horizontal="center" wrapText="1"/>
    </xf>
    <xf numFmtId="0" fontId="24" fillId="2" borderId="56" xfId="1" applyFont="1" applyFill="1" applyBorder="1" applyAlignment="1">
      <alignment horizontal="center" wrapText="1"/>
    </xf>
    <xf numFmtId="0" fontId="24" fillId="2" borderId="57" xfId="1" applyFont="1" applyFill="1" applyBorder="1" applyAlignment="1">
      <alignment horizontal="center" wrapText="1"/>
    </xf>
    <xf numFmtId="164" fontId="1" fillId="2" borderId="0" xfId="1" applyNumberFormat="1" applyFont="1" applyFill="1" applyAlignment="1">
      <alignment horizontal="center"/>
    </xf>
    <xf numFmtId="0" fontId="9" fillId="3" borderId="0" xfId="0" applyFont="1" applyFill="1" applyAlignment="1" applyProtection="1">
      <alignment horizontal="left" wrapText="1"/>
      <protection locked="0"/>
    </xf>
    <xf numFmtId="0" fontId="15" fillId="2" borderId="55" xfId="0" applyFont="1" applyFill="1" applyBorder="1" applyAlignment="1">
      <alignment horizontal="center"/>
    </xf>
    <xf numFmtId="0" fontId="15" fillId="2" borderId="56" xfId="0" applyFont="1" applyFill="1" applyBorder="1" applyAlignment="1">
      <alignment horizontal="center"/>
    </xf>
    <xf numFmtId="0" fontId="15" fillId="2" borderId="57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5" fillId="2" borderId="55" xfId="0" applyFont="1" applyFill="1" applyBorder="1" applyAlignment="1">
      <alignment horizontal="justify" vertical="center" wrapText="1"/>
    </xf>
    <xf numFmtId="0" fontId="15" fillId="2" borderId="56" xfId="0" applyFont="1" applyFill="1" applyBorder="1" applyAlignment="1">
      <alignment horizontal="justify" vertical="center" wrapText="1"/>
    </xf>
    <xf numFmtId="0" fontId="15" fillId="2" borderId="57" xfId="0" applyFont="1" applyFill="1" applyBorder="1" applyAlignment="1">
      <alignment horizontal="justify" vertical="center" wrapText="1"/>
    </xf>
    <xf numFmtId="0" fontId="15" fillId="2" borderId="55" xfId="0" applyFont="1" applyFill="1" applyBorder="1" applyAlignment="1">
      <alignment horizontal="left" vertical="center" wrapText="1"/>
    </xf>
    <xf numFmtId="0" fontId="15" fillId="2" borderId="56" xfId="0" applyFont="1" applyFill="1" applyBorder="1" applyAlignment="1">
      <alignment horizontal="left" vertical="center" wrapText="1"/>
    </xf>
    <xf numFmtId="0" fontId="15" fillId="2" borderId="57" xfId="0" applyFont="1" applyFill="1" applyBorder="1" applyAlignment="1">
      <alignment horizontal="left" vertical="center" wrapText="1"/>
    </xf>
    <xf numFmtId="0" fontId="8" fillId="2" borderId="44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58" xfId="0" applyFont="1" applyFill="1" applyBorder="1" applyAlignment="1">
      <alignment horizontal="center"/>
    </xf>
    <xf numFmtId="0" fontId="9" fillId="3" borderId="0" xfId="0" applyFont="1" applyFill="1" applyAlignment="1" applyProtection="1">
      <alignment horizontal="left"/>
      <protection locked="0"/>
    </xf>
    <xf numFmtId="10" fontId="11" fillId="2" borderId="40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5" fillId="2" borderId="39" xfId="0" applyFont="1" applyFill="1" applyBorder="1" applyAlignment="1">
      <alignment horizontal="left" vertical="center" wrapText="1"/>
    </xf>
    <xf numFmtId="0" fontId="15" fillId="2" borderId="4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2" fontId="9" fillId="3" borderId="23" xfId="0" applyNumberFormat="1" applyFont="1" applyFill="1" applyBorder="1" applyAlignment="1" applyProtection="1">
      <alignment horizontal="center" vertical="center"/>
      <protection locked="0"/>
    </xf>
    <xf numFmtId="2" fontId="9" fillId="3" borderId="40" xfId="0" applyNumberFormat="1" applyFont="1" applyFill="1" applyBorder="1" applyAlignment="1" applyProtection="1">
      <alignment horizontal="center" vertical="center"/>
      <protection locked="0"/>
    </xf>
    <xf numFmtId="2" fontId="9" fillId="3" borderId="30" xfId="0" applyNumberFormat="1" applyFont="1" applyFill="1" applyBorder="1" applyAlignment="1" applyProtection="1">
      <alignment horizontal="center" vertical="center"/>
      <protection locked="0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8" fillId="2" borderId="39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33" workbookViewId="0">
      <selection activeCell="B52" sqref="B52"/>
    </sheetView>
  </sheetViews>
  <sheetFormatPr defaultRowHeight="13.5" x14ac:dyDescent="0.25"/>
  <cols>
    <col min="1" max="1" width="27.5703125" style="232" customWidth="1"/>
    <col min="2" max="2" width="20.42578125" style="232" customWidth="1"/>
    <col min="3" max="3" width="31.85546875" style="232" customWidth="1"/>
    <col min="4" max="4" width="25.85546875" style="232" customWidth="1"/>
    <col min="5" max="5" width="25.7109375" style="232" customWidth="1"/>
    <col min="6" max="6" width="23.140625" style="232" customWidth="1"/>
    <col min="7" max="7" width="28.42578125" style="232" customWidth="1"/>
    <col min="8" max="8" width="21.5703125" style="232" customWidth="1"/>
    <col min="9" max="9" width="9.140625" style="232" customWidth="1"/>
    <col min="10" max="16384" width="9.140625" style="270"/>
  </cols>
  <sheetData>
    <row r="14" spans="1:6" ht="15" customHeight="1" x14ac:dyDescent="0.3">
      <c r="A14" s="231"/>
      <c r="C14" s="233"/>
      <c r="F14" s="233"/>
    </row>
    <row r="15" spans="1:6" ht="18.75" customHeight="1" x14ac:dyDescent="0.3">
      <c r="A15" s="277" t="s">
        <v>0</v>
      </c>
      <c r="B15" s="277"/>
      <c r="C15" s="277"/>
      <c r="D15" s="277"/>
      <c r="E15" s="277"/>
    </row>
    <row r="16" spans="1:6" ht="16.5" customHeight="1" x14ac:dyDescent="0.3">
      <c r="A16" s="234" t="s">
        <v>1</v>
      </c>
      <c r="B16" s="235" t="s">
        <v>2</v>
      </c>
    </row>
    <row r="17" spans="1:5" ht="16.5" customHeight="1" x14ac:dyDescent="0.3">
      <c r="A17" s="236" t="s">
        <v>3</v>
      </c>
      <c r="B17" s="236" t="s">
        <v>124</v>
      </c>
      <c r="D17" s="237"/>
      <c r="E17" s="238"/>
    </row>
    <row r="18" spans="1:5" ht="16.5" customHeight="1" x14ac:dyDescent="0.3">
      <c r="A18" s="239" t="s">
        <v>4</v>
      </c>
      <c r="B18" s="240" t="s">
        <v>128</v>
      </c>
      <c r="C18" s="238"/>
      <c r="D18" s="238"/>
      <c r="E18" s="238"/>
    </row>
    <row r="19" spans="1:5" ht="16.5" customHeight="1" x14ac:dyDescent="0.3">
      <c r="A19" s="239" t="s">
        <v>6</v>
      </c>
      <c r="B19" s="241">
        <v>99.15</v>
      </c>
      <c r="C19" s="238"/>
      <c r="D19" s="238"/>
      <c r="E19" s="238"/>
    </row>
    <row r="20" spans="1:5" ht="16.5" customHeight="1" x14ac:dyDescent="0.3">
      <c r="A20" s="236" t="s">
        <v>8</v>
      </c>
      <c r="B20" s="240">
        <v>24.04</v>
      </c>
      <c r="C20" s="238"/>
      <c r="D20" s="238"/>
      <c r="E20" s="238"/>
    </row>
    <row r="21" spans="1:5" ht="16.5" customHeight="1" x14ac:dyDescent="0.3">
      <c r="A21" s="236" t="s">
        <v>10</v>
      </c>
      <c r="B21" s="242">
        <f>B20/50*5/100</f>
        <v>2.4039999999999999E-2</v>
      </c>
      <c r="C21" s="238"/>
      <c r="D21" s="238"/>
      <c r="E21" s="238"/>
    </row>
    <row r="22" spans="1:5" ht="15.75" customHeight="1" x14ac:dyDescent="0.25">
      <c r="A22" s="238"/>
      <c r="B22" s="243">
        <v>42535.566840277781</v>
      </c>
      <c r="C22" s="238"/>
      <c r="D22" s="238"/>
      <c r="E22" s="238"/>
    </row>
    <row r="23" spans="1:5" ht="16.5" customHeight="1" x14ac:dyDescent="0.3">
      <c r="A23" s="244" t="s">
        <v>13</v>
      </c>
      <c r="B23" s="245" t="s">
        <v>14</v>
      </c>
      <c r="C23" s="244" t="s">
        <v>15</v>
      </c>
      <c r="D23" s="244" t="s">
        <v>16</v>
      </c>
      <c r="E23" s="244" t="s">
        <v>17</v>
      </c>
    </row>
    <row r="24" spans="1:5" ht="16.5" customHeight="1" x14ac:dyDescent="0.3">
      <c r="A24" s="246">
        <v>1</v>
      </c>
      <c r="B24" s="247">
        <v>181672338</v>
      </c>
      <c r="C24" s="247">
        <v>5591.4</v>
      </c>
      <c r="D24" s="248">
        <v>1.1000000000000001</v>
      </c>
      <c r="E24" s="249">
        <v>4.9000000000000004</v>
      </c>
    </row>
    <row r="25" spans="1:5" ht="16.5" customHeight="1" x14ac:dyDescent="0.3">
      <c r="A25" s="246">
        <v>2</v>
      </c>
      <c r="B25" s="247">
        <v>181089473</v>
      </c>
      <c r="C25" s="247">
        <v>5618.8</v>
      </c>
      <c r="D25" s="248">
        <v>1.1000000000000001</v>
      </c>
      <c r="E25" s="248">
        <v>4.9000000000000004</v>
      </c>
    </row>
    <row r="26" spans="1:5" ht="16.5" customHeight="1" x14ac:dyDescent="0.3">
      <c r="A26" s="246">
        <v>3</v>
      </c>
      <c r="B26" s="247">
        <v>180042849</v>
      </c>
      <c r="C26" s="247">
        <v>5568.3</v>
      </c>
      <c r="D26" s="248">
        <v>1.1000000000000001</v>
      </c>
      <c r="E26" s="248">
        <v>4.9000000000000004</v>
      </c>
    </row>
    <row r="27" spans="1:5" ht="16.5" customHeight="1" x14ac:dyDescent="0.3">
      <c r="A27" s="246">
        <v>4</v>
      </c>
      <c r="B27" s="247">
        <v>180321210</v>
      </c>
      <c r="C27" s="247">
        <v>5560.2</v>
      </c>
      <c r="D27" s="248">
        <v>1.1000000000000001</v>
      </c>
      <c r="E27" s="248">
        <v>4.9000000000000004</v>
      </c>
    </row>
    <row r="28" spans="1:5" ht="16.5" customHeight="1" x14ac:dyDescent="0.3">
      <c r="A28" s="246">
        <v>5</v>
      </c>
      <c r="B28" s="247">
        <v>180754097</v>
      </c>
      <c r="C28" s="247">
        <v>5531.5</v>
      </c>
      <c r="D28" s="248">
        <v>1.1000000000000001</v>
      </c>
      <c r="E28" s="248">
        <v>4.9000000000000004</v>
      </c>
    </row>
    <row r="29" spans="1:5" ht="16.5" customHeight="1" x14ac:dyDescent="0.3">
      <c r="A29" s="246">
        <v>6</v>
      </c>
      <c r="B29" s="250">
        <v>182179792</v>
      </c>
      <c r="C29" s="250">
        <v>5580.3</v>
      </c>
      <c r="D29" s="251">
        <v>1.1000000000000001</v>
      </c>
      <c r="E29" s="251">
        <v>4.9000000000000004</v>
      </c>
    </row>
    <row r="30" spans="1:5" ht="16.5" customHeight="1" x14ac:dyDescent="0.3">
      <c r="A30" s="252" t="s">
        <v>18</v>
      </c>
      <c r="B30" s="253">
        <f>AVERAGE(B24:B29)</f>
        <v>181009959.83333334</v>
      </c>
      <c r="C30" s="254">
        <f>AVERAGE(C24:C29)</f>
        <v>5575.083333333333</v>
      </c>
      <c r="D30" s="255">
        <f>AVERAGE(D24:D29)</f>
        <v>1.0999999999999999</v>
      </c>
      <c r="E30" s="255">
        <f>AVERAGE(E24:E29)</f>
        <v>4.8999999999999995</v>
      </c>
    </row>
    <row r="31" spans="1:5" ht="16.5" customHeight="1" x14ac:dyDescent="0.3">
      <c r="A31" s="256" t="s">
        <v>19</v>
      </c>
      <c r="B31" s="257">
        <f>(STDEV(B24:B29)/B30)</f>
        <v>4.4804947539469073E-3</v>
      </c>
      <c r="C31" s="258"/>
      <c r="D31" s="258"/>
      <c r="E31" s="259"/>
    </row>
    <row r="32" spans="1:5" s="232" customFormat="1" ht="16.5" customHeight="1" x14ac:dyDescent="0.3">
      <c r="A32" s="260" t="s">
        <v>20</v>
      </c>
      <c r="B32" s="261">
        <f>COUNT(B24:B29)</f>
        <v>6</v>
      </c>
      <c r="C32" s="262"/>
      <c r="D32" s="263"/>
      <c r="E32" s="264"/>
    </row>
    <row r="33" spans="1:5" s="232" customFormat="1" ht="15.75" customHeight="1" x14ac:dyDescent="0.25">
      <c r="A33" s="238"/>
      <c r="B33" s="238"/>
      <c r="C33" s="238"/>
      <c r="D33" s="238"/>
      <c r="E33" s="238"/>
    </row>
    <row r="34" spans="1:5" s="232" customFormat="1" ht="16.5" customHeight="1" x14ac:dyDescent="0.3">
      <c r="A34" s="239" t="s">
        <v>21</v>
      </c>
      <c r="B34" s="265" t="s">
        <v>125</v>
      </c>
      <c r="C34" s="266"/>
      <c r="D34" s="266"/>
      <c r="E34" s="266"/>
    </row>
    <row r="35" spans="1:5" ht="16.5" customHeight="1" x14ac:dyDescent="0.3">
      <c r="A35" s="239"/>
      <c r="B35" s="265" t="s">
        <v>126</v>
      </c>
      <c r="C35" s="266"/>
      <c r="D35" s="266"/>
      <c r="E35" s="266"/>
    </row>
    <row r="36" spans="1:5" ht="16.5" customHeight="1" x14ac:dyDescent="0.3">
      <c r="A36" s="239"/>
      <c r="B36" s="265" t="s">
        <v>127</v>
      </c>
      <c r="C36" s="266"/>
      <c r="D36" s="266"/>
      <c r="E36" s="266"/>
    </row>
    <row r="37" spans="1:5" ht="15.75" customHeight="1" x14ac:dyDescent="0.25">
      <c r="A37" s="238"/>
      <c r="B37" s="238"/>
      <c r="C37" s="238"/>
      <c r="D37" s="238"/>
      <c r="E37" s="238"/>
    </row>
    <row r="38" spans="1:5" ht="16.5" customHeight="1" x14ac:dyDescent="0.3">
      <c r="A38" s="234" t="s">
        <v>1</v>
      </c>
      <c r="B38" s="235" t="s">
        <v>22</v>
      </c>
    </row>
    <row r="39" spans="1:5" ht="16.5" customHeight="1" x14ac:dyDescent="0.3">
      <c r="A39" s="239" t="s">
        <v>4</v>
      </c>
      <c r="B39" s="240" t="s">
        <v>128</v>
      </c>
      <c r="C39" s="238"/>
      <c r="D39" s="238"/>
      <c r="E39" s="238"/>
    </row>
    <row r="40" spans="1:5" ht="16.5" customHeight="1" x14ac:dyDescent="0.3">
      <c r="A40" s="239" t="s">
        <v>6</v>
      </c>
      <c r="B40" s="241">
        <v>99.15</v>
      </c>
      <c r="C40" s="238"/>
      <c r="D40" s="238"/>
      <c r="E40" s="238"/>
    </row>
    <row r="41" spans="1:5" ht="16.5" customHeight="1" x14ac:dyDescent="0.3">
      <c r="A41" s="236" t="s">
        <v>8</v>
      </c>
      <c r="B41" s="240">
        <v>24.04</v>
      </c>
      <c r="C41" s="238"/>
      <c r="D41" s="238"/>
      <c r="E41" s="238"/>
    </row>
    <row r="42" spans="1:5" ht="16.5" customHeight="1" x14ac:dyDescent="0.3">
      <c r="A42" s="236" t="s">
        <v>10</v>
      </c>
      <c r="B42" s="241">
        <f>B41/50*3/100</f>
        <v>1.4424000000000001E-2</v>
      </c>
      <c r="C42" s="238"/>
      <c r="D42" s="238"/>
      <c r="E42" s="238"/>
    </row>
    <row r="43" spans="1:5" ht="15.75" customHeight="1" x14ac:dyDescent="0.3">
      <c r="A43" s="238"/>
      <c r="B43" s="242"/>
      <c r="C43" s="238"/>
      <c r="D43" s="238"/>
      <c r="E43" s="238"/>
    </row>
    <row r="44" spans="1:5" ht="16.5" customHeight="1" x14ac:dyDescent="0.3">
      <c r="A44" s="244" t="s">
        <v>13</v>
      </c>
      <c r="B44" s="245" t="s">
        <v>14</v>
      </c>
      <c r="C44" s="244" t="s">
        <v>15</v>
      </c>
      <c r="D44" s="244" t="s">
        <v>16</v>
      </c>
      <c r="E44" s="244" t="s">
        <v>17</v>
      </c>
    </row>
    <row r="45" spans="1:5" ht="16.5" customHeight="1" x14ac:dyDescent="0.3">
      <c r="A45" s="246">
        <v>1</v>
      </c>
      <c r="B45" s="247">
        <v>88682632</v>
      </c>
      <c r="C45" s="247">
        <v>6416.22</v>
      </c>
      <c r="D45" s="248">
        <v>1.1000000000000001</v>
      </c>
      <c r="E45" s="249">
        <v>4.1500000000000004</v>
      </c>
    </row>
    <row r="46" spans="1:5" ht="16.5" customHeight="1" x14ac:dyDescent="0.3">
      <c r="A46" s="246">
        <v>2</v>
      </c>
      <c r="B46" s="247">
        <v>86836899</v>
      </c>
      <c r="C46" s="247">
        <v>6460.25</v>
      </c>
      <c r="D46" s="248">
        <v>1.1200000000000001</v>
      </c>
      <c r="E46" s="248">
        <v>4.1500000000000004</v>
      </c>
    </row>
    <row r="47" spans="1:5" ht="16.5" customHeight="1" x14ac:dyDescent="0.3">
      <c r="A47" s="246">
        <v>3</v>
      </c>
      <c r="B47" s="247">
        <v>86273045</v>
      </c>
      <c r="C47" s="247">
        <v>6453.99</v>
      </c>
      <c r="D47" s="248">
        <v>1.1299999999999999</v>
      </c>
      <c r="E47" s="248">
        <v>4.1500000000000004</v>
      </c>
    </row>
    <row r="48" spans="1:5" ht="16.5" customHeight="1" x14ac:dyDescent="0.3">
      <c r="A48" s="246">
        <v>4</v>
      </c>
      <c r="B48" s="247">
        <v>86814984</v>
      </c>
      <c r="C48" s="247">
        <v>6446.5</v>
      </c>
      <c r="D48" s="248">
        <v>1.1100000000000001</v>
      </c>
      <c r="E48" s="248">
        <v>4.1500000000000004</v>
      </c>
    </row>
    <row r="49" spans="1:7" ht="16.5" customHeight="1" x14ac:dyDescent="0.3">
      <c r="A49" s="246">
        <v>5</v>
      </c>
      <c r="B49" s="247">
        <v>87150427</v>
      </c>
      <c r="C49" s="247">
        <v>6466.19</v>
      </c>
      <c r="D49" s="248">
        <v>1.1000000000000001</v>
      </c>
      <c r="E49" s="248">
        <v>4.1500000000000004</v>
      </c>
    </row>
    <row r="50" spans="1:7" ht="16.5" customHeight="1" x14ac:dyDescent="0.3">
      <c r="A50" s="246">
        <v>6</v>
      </c>
      <c r="B50" s="250">
        <v>87120941</v>
      </c>
      <c r="C50" s="250">
        <v>6474.39</v>
      </c>
      <c r="D50" s="251">
        <v>1.1000000000000001</v>
      </c>
      <c r="E50" s="251">
        <v>4.1500000000000004</v>
      </c>
    </row>
    <row r="51" spans="1:7" ht="16.5" customHeight="1" x14ac:dyDescent="0.3">
      <c r="A51" s="252" t="s">
        <v>18</v>
      </c>
      <c r="B51" s="253">
        <f>AVERAGE(B45:B50)</f>
        <v>87146488</v>
      </c>
      <c r="C51" s="254">
        <f>AVERAGE(C45:C50)</f>
        <v>6452.9233333333332</v>
      </c>
      <c r="D51" s="255">
        <f>AVERAGE(D45:D50)</f>
        <v>1.1100000000000001</v>
      </c>
      <c r="E51" s="255">
        <f>AVERAGE(E45:E50)</f>
        <v>4.1499999999999995</v>
      </c>
    </row>
    <row r="52" spans="1:7" ht="16.5" customHeight="1" x14ac:dyDescent="0.3">
      <c r="A52" s="256" t="s">
        <v>19</v>
      </c>
      <c r="B52" s="257">
        <f>(STDEV(B45:B50)/B51)</f>
        <v>9.3632201147369597E-3</v>
      </c>
      <c r="C52" s="258"/>
      <c r="D52" s="258"/>
      <c r="E52" s="259"/>
    </row>
    <row r="53" spans="1:7" s="232" customFormat="1" ht="16.5" customHeight="1" x14ac:dyDescent="0.3">
      <c r="A53" s="260" t="s">
        <v>20</v>
      </c>
      <c r="B53" s="261">
        <f>COUNT(B45:B50)</f>
        <v>6</v>
      </c>
      <c r="C53" s="262"/>
      <c r="D53" s="263"/>
      <c r="E53" s="264"/>
    </row>
    <row r="54" spans="1:7" s="232" customFormat="1" ht="15.75" customHeight="1" x14ac:dyDescent="0.25">
      <c r="A54" s="238"/>
      <c r="B54" s="238"/>
      <c r="C54" s="238"/>
      <c r="D54" s="238"/>
      <c r="E54" s="238"/>
    </row>
    <row r="55" spans="1:7" s="232" customFormat="1" ht="16.5" customHeight="1" x14ac:dyDescent="0.3">
      <c r="A55" s="239" t="s">
        <v>21</v>
      </c>
      <c r="B55" s="265" t="s">
        <v>125</v>
      </c>
      <c r="C55" s="266"/>
      <c r="D55" s="266"/>
      <c r="E55" s="266"/>
    </row>
    <row r="56" spans="1:7" ht="16.5" customHeight="1" x14ac:dyDescent="0.3">
      <c r="A56" s="239"/>
      <c r="B56" s="265" t="s">
        <v>126</v>
      </c>
      <c r="C56" s="266"/>
      <c r="D56" s="266"/>
      <c r="E56" s="266"/>
    </row>
    <row r="57" spans="1:7" ht="16.5" customHeight="1" x14ac:dyDescent="0.3">
      <c r="A57" s="239"/>
      <c r="B57" s="265" t="s">
        <v>127</v>
      </c>
      <c r="C57" s="266"/>
      <c r="D57" s="266"/>
      <c r="E57" s="266"/>
    </row>
    <row r="58" spans="1:7" ht="14.25" customHeight="1" thickBot="1" x14ac:dyDescent="0.3">
      <c r="A58" s="267"/>
      <c r="B58" s="268"/>
      <c r="D58" s="269"/>
      <c r="F58" s="270"/>
      <c r="G58" s="270"/>
    </row>
    <row r="59" spans="1:7" ht="15" customHeight="1" x14ac:dyDescent="0.3">
      <c r="B59" s="278" t="s">
        <v>23</v>
      </c>
      <c r="C59" s="278"/>
      <c r="E59" s="271" t="s">
        <v>24</v>
      </c>
      <c r="F59" s="272"/>
      <c r="G59" s="271" t="s">
        <v>25</v>
      </c>
    </row>
    <row r="60" spans="1:7" ht="15" customHeight="1" x14ac:dyDescent="0.3">
      <c r="A60" s="273" t="s">
        <v>26</v>
      </c>
      <c r="B60" s="274"/>
      <c r="C60" s="274"/>
      <c r="E60" s="274"/>
      <c r="G60" s="274"/>
    </row>
    <row r="61" spans="1:7" ht="15" customHeight="1" x14ac:dyDescent="0.3">
      <c r="A61" s="273" t="s">
        <v>27</v>
      </c>
      <c r="B61" s="275"/>
      <c r="C61" s="275"/>
      <c r="E61" s="275"/>
      <c r="G61" s="27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3" workbookViewId="0">
      <selection activeCell="D44" sqref="D44"/>
    </sheetView>
  </sheetViews>
  <sheetFormatPr defaultRowHeight="15" x14ac:dyDescent="0.3"/>
  <cols>
    <col min="1" max="1" width="15.5703125" style="188" customWidth="1"/>
    <col min="2" max="2" width="18.42578125" style="188" customWidth="1"/>
    <col min="3" max="3" width="14.28515625" style="188" customWidth="1"/>
    <col min="4" max="4" width="15" style="188" customWidth="1"/>
    <col min="5" max="5" width="9.140625" style="188" customWidth="1"/>
    <col min="6" max="6" width="27.85546875" style="188" customWidth="1"/>
    <col min="7" max="7" width="12.28515625" style="188" customWidth="1"/>
    <col min="8" max="8" width="9.140625" style="188" customWidth="1"/>
    <col min="9" max="16384" width="9.140625" style="187"/>
  </cols>
  <sheetData>
    <row r="10" spans="1:7" ht="13.5" customHeight="1" thickBot="1" x14ac:dyDescent="0.35"/>
    <row r="11" spans="1:7" ht="13.5" customHeight="1" thickBot="1" x14ac:dyDescent="0.35">
      <c r="A11" s="283" t="s">
        <v>30</v>
      </c>
      <c r="B11" s="284"/>
      <c r="C11" s="284"/>
      <c r="D11" s="284"/>
      <c r="E11" s="284"/>
      <c r="F11" s="285"/>
      <c r="G11" s="230"/>
    </row>
    <row r="12" spans="1:7" ht="16.5" customHeight="1" x14ac:dyDescent="0.3">
      <c r="A12" s="280" t="s">
        <v>123</v>
      </c>
      <c r="B12" s="280"/>
      <c r="C12" s="280"/>
      <c r="D12" s="280"/>
      <c r="E12" s="280"/>
      <c r="F12" s="280"/>
      <c r="G12" s="229"/>
    </row>
    <row r="14" spans="1:7" ht="16.5" customHeight="1" x14ac:dyDescent="0.3">
      <c r="A14" s="279" t="s">
        <v>32</v>
      </c>
      <c r="B14" s="279"/>
      <c r="C14" s="190" t="s">
        <v>5</v>
      </c>
    </row>
    <row r="15" spans="1:7" ht="16.5" customHeight="1" x14ac:dyDescent="0.3">
      <c r="A15" s="279" t="s">
        <v>33</v>
      </c>
      <c r="B15" s="279"/>
      <c r="C15" s="190" t="s">
        <v>7</v>
      </c>
    </row>
    <row r="16" spans="1:7" ht="16.5" customHeight="1" x14ac:dyDescent="0.3">
      <c r="A16" s="279" t="s">
        <v>34</v>
      </c>
      <c r="B16" s="279"/>
      <c r="C16" s="190" t="s">
        <v>9</v>
      </c>
    </row>
    <row r="17" spans="1:5" ht="16.5" customHeight="1" x14ac:dyDescent="0.3">
      <c r="A17" s="279" t="s">
        <v>35</v>
      </c>
      <c r="B17" s="279"/>
      <c r="C17" s="190" t="s">
        <v>11</v>
      </c>
    </row>
    <row r="18" spans="1:5" ht="16.5" customHeight="1" x14ac:dyDescent="0.3">
      <c r="A18" s="279" t="s">
        <v>36</v>
      </c>
      <c r="B18" s="279"/>
      <c r="C18" s="228" t="s">
        <v>12</v>
      </c>
    </row>
    <row r="19" spans="1:5" ht="16.5" customHeight="1" x14ac:dyDescent="0.3">
      <c r="A19" s="279" t="s">
        <v>37</v>
      </c>
      <c r="B19" s="279"/>
      <c r="C19" s="228" t="e">
        <f>#REF!</f>
        <v>#REF!</v>
      </c>
    </row>
    <row r="20" spans="1:5" ht="16.5" customHeight="1" x14ac:dyDescent="0.3">
      <c r="A20" s="193"/>
      <c r="B20" s="193"/>
      <c r="C20" s="227"/>
    </row>
    <row r="21" spans="1:5" ht="16.5" customHeight="1" x14ac:dyDescent="0.3">
      <c r="A21" s="280" t="s">
        <v>1</v>
      </c>
      <c r="B21" s="280"/>
      <c r="C21" s="226" t="s">
        <v>122</v>
      </c>
      <c r="D21" s="198"/>
    </row>
    <row r="22" spans="1:5" ht="15.75" customHeight="1" thickBot="1" x14ac:dyDescent="0.35">
      <c r="A22" s="286"/>
      <c r="B22" s="286"/>
      <c r="C22" s="225"/>
      <c r="D22" s="286"/>
      <c r="E22" s="286"/>
    </row>
    <row r="23" spans="1:5" ht="33.75" customHeight="1" thickBot="1" x14ac:dyDescent="0.35">
      <c r="C23" s="224" t="s">
        <v>121</v>
      </c>
      <c r="D23" s="207" t="s">
        <v>120</v>
      </c>
      <c r="E23" s="223"/>
    </row>
    <row r="24" spans="1:5" ht="15.75" customHeight="1" x14ac:dyDescent="0.3">
      <c r="C24" s="221">
        <v>365.2</v>
      </c>
      <c r="D24" s="222">
        <f t="shared" ref="D24:D43" si="0">(C24-$C$46)/$C$46</f>
        <v>6.8719284823170381E-3</v>
      </c>
      <c r="E24" s="217"/>
    </row>
    <row r="25" spans="1:5" ht="15.75" customHeight="1" x14ac:dyDescent="0.3">
      <c r="C25" s="221">
        <v>361.94</v>
      </c>
      <c r="D25" s="220">
        <f t="shared" si="0"/>
        <v>-2.1160301344747053E-3</v>
      </c>
      <c r="E25" s="217"/>
    </row>
    <row r="26" spans="1:5" ht="15.75" customHeight="1" x14ac:dyDescent="0.3">
      <c r="C26" s="221">
        <v>357.71</v>
      </c>
      <c r="D26" s="220">
        <f t="shared" si="0"/>
        <v>-1.3778319996140147E-2</v>
      </c>
      <c r="E26" s="217"/>
    </row>
    <row r="27" spans="1:5" ht="15.75" customHeight="1" x14ac:dyDescent="0.3">
      <c r="C27" s="221">
        <v>366.48</v>
      </c>
      <c r="D27" s="220">
        <f t="shared" si="0"/>
        <v>1.0400942908542108E-2</v>
      </c>
      <c r="E27" s="217"/>
    </row>
    <row r="28" spans="1:5" ht="15.75" customHeight="1" x14ac:dyDescent="0.3">
      <c r="C28" s="221">
        <v>360.19</v>
      </c>
      <c r="D28" s="220">
        <f t="shared" si="0"/>
        <v>-6.9408545453291818E-3</v>
      </c>
      <c r="E28" s="217"/>
    </row>
    <row r="29" spans="1:5" ht="15.75" customHeight="1" x14ac:dyDescent="0.3">
      <c r="C29" s="221">
        <v>364.62</v>
      </c>
      <c r="D29" s="220">
        <f t="shared" si="0"/>
        <v>5.2728438204338833E-3</v>
      </c>
      <c r="E29" s="217"/>
    </row>
    <row r="30" spans="1:5" ht="15.75" customHeight="1" x14ac:dyDescent="0.3">
      <c r="C30" s="221">
        <v>363.92</v>
      </c>
      <c r="D30" s="220">
        <f t="shared" si="0"/>
        <v>3.3429140560921242E-3</v>
      </c>
      <c r="E30" s="217"/>
    </row>
    <row r="31" spans="1:5" ht="15.75" customHeight="1" x14ac:dyDescent="0.3">
      <c r="C31" s="221">
        <v>361.49</v>
      </c>
      <c r="D31" s="220">
        <f t="shared" si="0"/>
        <v>-3.3566992686943965E-3</v>
      </c>
      <c r="E31" s="217"/>
    </row>
    <row r="32" spans="1:5" ht="15.75" customHeight="1" x14ac:dyDescent="0.3">
      <c r="C32" s="221">
        <v>361.07</v>
      </c>
      <c r="D32" s="220">
        <f t="shared" si="0"/>
        <v>-4.5146571272995147E-3</v>
      </c>
      <c r="E32" s="217"/>
    </row>
    <row r="33" spans="1:7" ht="15.75" customHeight="1" x14ac:dyDescent="0.3">
      <c r="C33" s="221">
        <v>366.81</v>
      </c>
      <c r="D33" s="220">
        <f t="shared" si="0"/>
        <v>1.1310766940303195E-2</v>
      </c>
      <c r="E33" s="217"/>
    </row>
    <row r="34" spans="1:7" ht="15.75" customHeight="1" x14ac:dyDescent="0.3">
      <c r="C34" s="221">
        <v>365.09</v>
      </c>
      <c r="D34" s="220">
        <f t="shared" si="0"/>
        <v>6.5686538050632902E-3</v>
      </c>
      <c r="E34" s="217"/>
    </row>
    <row r="35" spans="1:7" ht="15.75" customHeight="1" x14ac:dyDescent="0.3">
      <c r="C35" s="221">
        <v>360.74</v>
      </c>
      <c r="D35" s="220">
        <f t="shared" si="0"/>
        <v>-5.4244811590606007E-3</v>
      </c>
      <c r="E35" s="217"/>
    </row>
    <row r="36" spans="1:7" ht="15.75" customHeight="1" x14ac:dyDescent="0.3">
      <c r="C36" s="221">
        <v>362.25</v>
      </c>
      <c r="D36" s="220">
        <f t="shared" si="0"/>
        <v>-1.2613469531233344E-3</v>
      </c>
      <c r="E36" s="217"/>
    </row>
    <row r="37" spans="1:7" ht="15.75" customHeight="1" x14ac:dyDescent="0.3">
      <c r="C37" s="221">
        <v>358.68</v>
      </c>
      <c r="D37" s="220">
        <f t="shared" si="0"/>
        <v>-1.1103988751266449E-2</v>
      </c>
      <c r="E37" s="217"/>
    </row>
    <row r="38" spans="1:7" ht="15.75" customHeight="1" x14ac:dyDescent="0.3">
      <c r="C38" s="221">
        <v>360.76</v>
      </c>
      <c r="D38" s="220">
        <f t="shared" si="0"/>
        <v>-5.3693403086508855E-3</v>
      </c>
      <c r="E38" s="217"/>
    </row>
    <row r="39" spans="1:7" ht="15.75" customHeight="1" x14ac:dyDescent="0.3">
      <c r="C39" s="221">
        <v>363.99</v>
      </c>
      <c r="D39" s="220">
        <f t="shared" si="0"/>
        <v>3.5359070325262846E-3</v>
      </c>
      <c r="E39" s="217"/>
    </row>
    <row r="40" spans="1:7" ht="15.75" customHeight="1" x14ac:dyDescent="0.3">
      <c r="C40" s="221">
        <v>361.58</v>
      </c>
      <c r="D40" s="220">
        <f t="shared" si="0"/>
        <v>-3.1085654418505208E-3</v>
      </c>
      <c r="E40" s="217"/>
    </row>
    <row r="41" spans="1:7" ht="15.75" customHeight="1" x14ac:dyDescent="0.3">
      <c r="C41" s="221">
        <v>360.82</v>
      </c>
      <c r="D41" s="220">
        <f t="shared" si="0"/>
        <v>-5.2039177574215827E-3</v>
      </c>
      <c r="E41" s="217"/>
    </row>
    <row r="42" spans="1:7" ht="15.75" customHeight="1" x14ac:dyDescent="0.3">
      <c r="C42" s="221">
        <v>366.2</v>
      </c>
      <c r="D42" s="220">
        <f t="shared" si="0"/>
        <v>9.6289710028053099E-3</v>
      </c>
      <c r="E42" s="217"/>
    </row>
    <row r="43" spans="1:7" ht="16.5" customHeight="1" thickBot="1" x14ac:dyDescent="0.35">
      <c r="C43" s="219">
        <v>364.61</v>
      </c>
      <c r="D43" s="218">
        <f t="shared" si="0"/>
        <v>5.2452733952290257E-3</v>
      </c>
      <c r="E43" s="217"/>
    </row>
    <row r="44" spans="1:7" ht="16.5" customHeight="1" thickBot="1" x14ac:dyDescent="0.35">
      <c r="C44" s="213"/>
      <c r="D44" s="217"/>
      <c r="E44" s="216"/>
    </row>
    <row r="45" spans="1:7" ht="16.5" customHeight="1" thickBot="1" x14ac:dyDescent="0.35">
      <c r="B45" s="212" t="s">
        <v>119</v>
      </c>
      <c r="C45" s="215">
        <f>SUM(C24:C44)</f>
        <v>7254.15</v>
      </c>
      <c r="D45" s="214"/>
      <c r="E45" s="213"/>
    </row>
    <row r="46" spans="1:7" ht="17.25" customHeight="1" thickBot="1" x14ac:dyDescent="0.35">
      <c r="B46" s="212" t="s">
        <v>118</v>
      </c>
      <c r="C46" s="211">
        <f>AVERAGE(C24:C44)</f>
        <v>362.70749999999998</v>
      </c>
      <c r="E46" s="209"/>
    </row>
    <row r="47" spans="1:7" ht="17.25" customHeight="1" thickBot="1" x14ac:dyDescent="0.35">
      <c r="A47" s="190"/>
      <c r="B47" s="210"/>
      <c r="D47" s="205"/>
      <c r="E47" s="209"/>
    </row>
    <row r="48" spans="1:7" ht="33.75" customHeight="1" thickBot="1" x14ac:dyDescent="0.35">
      <c r="B48" s="208" t="s">
        <v>118</v>
      </c>
      <c r="C48" s="207" t="s">
        <v>117</v>
      </c>
      <c r="D48" s="206"/>
      <c r="G48" s="205"/>
    </row>
    <row r="49" spans="1:6" ht="17.25" customHeight="1" thickBot="1" x14ac:dyDescent="0.35">
      <c r="B49" s="281">
        <f>C46</f>
        <v>362.70749999999998</v>
      </c>
      <c r="C49" s="204">
        <f>-IF(C46&lt;=80,10%,IF(C46&lt;250,7.5%,5%))</f>
        <v>-0.05</v>
      </c>
      <c r="D49" s="202">
        <f>IF(C46&lt;=80,C46*0.9,IF(C46&lt;250,C46*0.925,C46*0.95))</f>
        <v>344.57212499999997</v>
      </c>
    </row>
    <row r="50" spans="1:6" ht="17.25" customHeight="1" thickBot="1" x14ac:dyDescent="0.35">
      <c r="B50" s="282"/>
      <c r="C50" s="203">
        <f>IF(C46&lt;=80, 10%, IF(C46&lt;250, 7.5%, 5%))</f>
        <v>0.05</v>
      </c>
      <c r="D50" s="202">
        <f>IF(C46&lt;=80, C46*1.1, IF(C46&lt;250, C46*1.075, C46*1.05))</f>
        <v>380.84287499999999</v>
      </c>
    </row>
    <row r="51" spans="1:6" ht="16.5" customHeight="1" thickBot="1" x14ac:dyDescent="0.35">
      <c r="A51" s="201"/>
      <c r="B51" s="200"/>
      <c r="C51" s="190"/>
      <c r="D51" s="199"/>
      <c r="E51" s="190"/>
      <c r="F51" s="198"/>
    </row>
    <row r="52" spans="1:6" ht="16.5" customHeight="1" x14ac:dyDescent="0.3">
      <c r="A52" s="190"/>
      <c r="B52" s="197" t="s">
        <v>23</v>
      </c>
      <c r="C52" s="197"/>
      <c r="D52" s="195" t="s">
        <v>24</v>
      </c>
      <c r="E52" s="196"/>
      <c r="F52" s="195" t="s">
        <v>25</v>
      </c>
    </row>
    <row r="53" spans="1:6" ht="34.5" customHeight="1" x14ac:dyDescent="0.3">
      <c r="A53" s="193" t="s">
        <v>26</v>
      </c>
      <c r="B53" s="194"/>
      <c r="C53" s="190"/>
      <c r="D53" s="194"/>
      <c r="E53" s="190"/>
      <c r="F53" s="194"/>
    </row>
    <row r="54" spans="1:6" ht="34.5" customHeight="1" x14ac:dyDescent="0.3">
      <c r="A54" s="193" t="s">
        <v>27</v>
      </c>
      <c r="B54" s="191"/>
      <c r="C54" s="192"/>
      <c r="D54" s="191"/>
      <c r="E54" s="190"/>
      <c r="F54" s="189"/>
    </row>
  </sheetData>
  <sheetProtection password="F3F3" sheet="1" formatColumns="0" formatRows="0" insertColumns="0" insertHyperlinks="0" deleteColumns="0" deleteRows="0" autoFilter="0" pivotTables="0"/>
  <mergeCells count="12">
    <mergeCell ref="A19:B19"/>
    <mergeCell ref="A21:B21"/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</mergeCells>
  <conditionalFormatting sqref="D24">
    <cfRule type="cellIs" dxfId="29" priority="2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19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18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17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1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15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14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13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2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0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9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8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7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5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4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3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2" zoomScale="35" zoomScaleNormal="40" zoomScalePageLayoutView="35" workbookViewId="0">
      <selection activeCell="E124" sqref="E124"/>
    </sheetView>
  </sheetViews>
  <sheetFormatPr defaultColWidth="9.140625" defaultRowHeight="13.5" x14ac:dyDescent="0.25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30" style="1" customWidth="1"/>
    <col min="9" max="9" width="30.28515625" style="1" hidden="1" customWidth="1"/>
    <col min="10" max="10" width="30.42578125" style="1" customWidth="1"/>
    <col min="11" max="11" width="21.28515625" style="1" customWidth="1"/>
    <col min="12" max="12" width="9.140625" style="1"/>
  </cols>
  <sheetData>
    <row r="1" spans="1:9" ht="18.75" customHeight="1" x14ac:dyDescent="0.25">
      <c r="A1" s="315" t="s">
        <v>28</v>
      </c>
      <c r="B1" s="315"/>
      <c r="C1" s="315"/>
      <c r="D1" s="315"/>
      <c r="E1" s="315"/>
      <c r="F1" s="315"/>
      <c r="G1" s="315"/>
      <c r="H1" s="315"/>
      <c r="I1" s="315"/>
    </row>
    <row r="2" spans="1:9" ht="18.75" customHeight="1" x14ac:dyDescent="0.25">
      <c r="A2" s="315"/>
      <c r="B2" s="315"/>
      <c r="C2" s="315"/>
      <c r="D2" s="315"/>
      <c r="E2" s="315"/>
      <c r="F2" s="315"/>
      <c r="G2" s="315"/>
      <c r="H2" s="315"/>
      <c r="I2" s="315"/>
    </row>
    <row r="3" spans="1:9" ht="18.75" customHeight="1" x14ac:dyDescent="0.25">
      <c r="A3" s="315"/>
      <c r="B3" s="315"/>
      <c r="C3" s="315"/>
      <c r="D3" s="315"/>
      <c r="E3" s="315"/>
      <c r="F3" s="315"/>
      <c r="G3" s="315"/>
      <c r="H3" s="315"/>
      <c r="I3" s="315"/>
    </row>
    <row r="4" spans="1:9" ht="18.75" customHeight="1" x14ac:dyDescent="0.25">
      <c r="A4" s="315"/>
      <c r="B4" s="315"/>
      <c r="C4" s="315"/>
      <c r="D4" s="315"/>
      <c r="E4" s="315"/>
      <c r="F4" s="315"/>
      <c r="G4" s="315"/>
      <c r="H4" s="315"/>
      <c r="I4" s="315"/>
    </row>
    <row r="5" spans="1:9" ht="18.75" customHeight="1" x14ac:dyDescent="0.25">
      <c r="A5" s="315"/>
      <c r="B5" s="315"/>
      <c r="C5" s="315"/>
      <c r="D5" s="315"/>
      <c r="E5" s="315"/>
      <c r="F5" s="315"/>
      <c r="G5" s="315"/>
      <c r="H5" s="315"/>
      <c r="I5" s="315"/>
    </row>
    <row r="6" spans="1:9" ht="18.75" customHeight="1" x14ac:dyDescent="0.25">
      <c r="A6" s="315"/>
      <c r="B6" s="315"/>
      <c r="C6" s="315"/>
      <c r="D6" s="315"/>
      <c r="E6" s="315"/>
      <c r="F6" s="315"/>
      <c r="G6" s="315"/>
      <c r="H6" s="315"/>
      <c r="I6" s="315"/>
    </row>
    <row r="7" spans="1:9" ht="18.75" customHeight="1" x14ac:dyDescent="0.25">
      <c r="A7" s="315"/>
      <c r="B7" s="315"/>
      <c r="C7" s="315"/>
      <c r="D7" s="315"/>
      <c r="E7" s="315"/>
      <c r="F7" s="315"/>
      <c r="G7" s="315"/>
      <c r="H7" s="315"/>
      <c r="I7" s="315"/>
    </row>
    <row r="8" spans="1:9" x14ac:dyDescent="0.25">
      <c r="A8" s="316" t="s">
        <v>29</v>
      </c>
      <c r="B8" s="316"/>
      <c r="C8" s="316"/>
      <c r="D8" s="316"/>
      <c r="E8" s="316"/>
      <c r="F8" s="316"/>
      <c r="G8" s="316"/>
      <c r="H8" s="316"/>
      <c r="I8" s="316"/>
    </row>
    <row r="9" spans="1:9" x14ac:dyDescent="0.25">
      <c r="A9" s="316"/>
      <c r="B9" s="316"/>
      <c r="C9" s="316"/>
      <c r="D9" s="316"/>
      <c r="E9" s="316"/>
      <c r="F9" s="316"/>
      <c r="G9" s="316"/>
      <c r="H9" s="316"/>
      <c r="I9" s="316"/>
    </row>
    <row r="10" spans="1:9" x14ac:dyDescent="0.25">
      <c r="A10" s="316"/>
      <c r="B10" s="316"/>
      <c r="C10" s="316"/>
      <c r="D10" s="316"/>
      <c r="E10" s="316"/>
      <c r="F10" s="316"/>
      <c r="G10" s="316"/>
      <c r="H10" s="316"/>
      <c r="I10" s="316"/>
    </row>
    <row r="11" spans="1:9" x14ac:dyDescent="0.25">
      <c r="A11" s="316"/>
      <c r="B11" s="316"/>
      <c r="C11" s="316"/>
      <c r="D11" s="316"/>
      <c r="E11" s="316"/>
      <c r="F11" s="316"/>
      <c r="G11" s="316"/>
      <c r="H11" s="316"/>
      <c r="I11" s="316"/>
    </row>
    <row r="12" spans="1:9" x14ac:dyDescent="0.25">
      <c r="A12" s="316"/>
      <c r="B12" s="316"/>
      <c r="C12" s="316"/>
      <c r="D12" s="316"/>
      <c r="E12" s="316"/>
      <c r="F12" s="316"/>
      <c r="G12" s="316"/>
      <c r="H12" s="316"/>
      <c r="I12" s="316"/>
    </row>
    <row r="13" spans="1:9" x14ac:dyDescent="0.25">
      <c r="A13" s="316"/>
      <c r="B13" s="316"/>
      <c r="C13" s="316"/>
      <c r="D13" s="316"/>
      <c r="E13" s="316"/>
      <c r="F13" s="316"/>
      <c r="G13" s="316"/>
      <c r="H13" s="316"/>
      <c r="I13" s="316"/>
    </row>
    <row r="14" spans="1:9" x14ac:dyDescent="0.25">
      <c r="A14" s="316"/>
      <c r="B14" s="316"/>
      <c r="C14" s="316"/>
      <c r="D14" s="316"/>
      <c r="E14" s="316"/>
      <c r="F14" s="316"/>
      <c r="G14" s="316"/>
      <c r="H14" s="316"/>
      <c r="I14" s="316"/>
    </row>
    <row r="15" spans="1:9" ht="19.5" customHeight="1" x14ac:dyDescent="0.3">
      <c r="A15" s="3"/>
    </row>
    <row r="16" spans="1:9" ht="19.5" customHeight="1" x14ac:dyDescent="0.3">
      <c r="A16" s="288" t="s">
        <v>30</v>
      </c>
      <c r="B16" s="289"/>
      <c r="C16" s="289"/>
      <c r="D16" s="289"/>
      <c r="E16" s="289"/>
      <c r="F16" s="289"/>
      <c r="G16" s="289"/>
      <c r="H16" s="290"/>
    </row>
    <row r="17" spans="1:14" ht="20.25" customHeight="1" x14ac:dyDescent="0.25">
      <c r="A17" s="291" t="s">
        <v>31</v>
      </c>
      <c r="B17" s="291"/>
      <c r="C17" s="291"/>
      <c r="D17" s="291"/>
      <c r="E17" s="291"/>
      <c r="F17" s="291"/>
      <c r="G17" s="291"/>
      <c r="H17" s="291"/>
    </row>
    <row r="18" spans="1:14" ht="26.25" customHeight="1" x14ac:dyDescent="0.4">
      <c r="A18" s="5" t="s">
        <v>32</v>
      </c>
      <c r="B18" s="287" t="s">
        <v>5</v>
      </c>
      <c r="C18" s="287"/>
      <c r="D18" s="171"/>
      <c r="E18" s="6"/>
      <c r="F18" s="7"/>
      <c r="G18" s="7"/>
      <c r="H18" s="7"/>
    </row>
    <row r="19" spans="1:14" ht="26.25" customHeight="1" x14ac:dyDescent="0.4">
      <c r="A19" s="5" t="s">
        <v>33</v>
      </c>
      <c r="B19" s="8" t="s">
        <v>7</v>
      </c>
      <c r="C19" s="184">
        <v>29</v>
      </c>
      <c r="D19" s="7"/>
      <c r="E19" s="7"/>
      <c r="F19" s="7"/>
      <c r="G19" s="7"/>
      <c r="H19" s="7"/>
    </row>
    <row r="20" spans="1:14" ht="26.25" customHeight="1" x14ac:dyDescent="0.4">
      <c r="A20" s="5" t="s">
        <v>34</v>
      </c>
      <c r="B20" s="292" t="s">
        <v>9</v>
      </c>
      <c r="C20" s="292"/>
      <c r="D20" s="7"/>
      <c r="E20" s="7"/>
      <c r="F20" s="7"/>
      <c r="G20" s="7"/>
      <c r="H20" s="7"/>
    </row>
    <row r="21" spans="1:14" ht="26.25" customHeight="1" x14ac:dyDescent="0.4">
      <c r="A21" s="5" t="s">
        <v>35</v>
      </c>
      <c r="B21" s="292" t="s">
        <v>11</v>
      </c>
      <c r="C21" s="292"/>
      <c r="D21" s="292"/>
      <c r="E21" s="292"/>
      <c r="F21" s="292"/>
      <c r="G21" s="292"/>
      <c r="H21" s="292"/>
      <c r="I21" s="9"/>
    </row>
    <row r="22" spans="1:14" ht="26.25" customHeight="1" x14ac:dyDescent="0.4">
      <c r="A22" s="5" t="s">
        <v>36</v>
      </c>
      <c r="B22" s="10" t="s">
        <v>12</v>
      </c>
      <c r="C22" s="7"/>
      <c r="D22" s="7"/>
      <c r="E22" s="7"/>
      <c r="F22" s="7"/>
      <c r="G22" s="7"/>
      <c r="H22" s="7"/>
    </row>
    <row r="23" spans="1:14" ht="26.25" customHeight="1" x14ac:dyDescent="0.4">
      <c r="A23" s="5" t="s">
        <v>37</v>
      </c>
      <c r="B23" s="10">
        <v>42534.587280092594</v>
      </c>
      <c r="C23" s="7"/>
      <c r="D23" s="7"/>
      <c r="E23" s="7"/>
      <c r="F23" s="7"/>
      <c r="G23" s="7"/>
      <c r="H23" s="7"/>
    </row>
    <row r="24" spans="1:14" ht="18.75" x14ac:dyDescent="0.3">
      <c r="A24" s="5"/>
      <c r="B24" s="11"/>
    </row>
    <row r="25" spans="1:14" ht="18.75" x14ac:dyDescent="0.3">
      <c r="A25" s="12" t="s">
        <v>1</v>
      </c>
      <c r="B25" s="11"/>
    </row>
    <row r="26" spans="1:14" ht="26.25" customHeight="1" x14ac:dyDescent="0.4">
      <c r="A26" s="13" t="s">
        <v>4</v>
      </c>
      <c r="B26" s="287" t="s">
        <v>115</v>
      </c>
      <c r="C26" s="287"/>
    </row>
    <row r="27" spans="1:14" ht="26.25" customHeight="1" x14ac:dyDescent="0.4">
      <c r="A27" s="14" t="s">
        <v>38</v>
      </c>
      <c r="B27" s="293" t="s">
        <v>116</v>
      </c>
      <c r="C27" s="293"/>
    </row>
    <row r="28" spans="1:14" ht="27" customHeight="1" x14ac:dyDescent="0.4">
      <c r="A28" s="14" t="s">
        <v>6</v>
      </c>
      <c r="B28" s="15">
        <v>99.15</v>
      </c>
    </row>
    <row r="29" spans="1:14" s="2" customFormat="1" ht="27" customHeight="1" x14ac:dyDescent="0.4">
      <c r="A29" s="14" t="s">
        <v>39</v>
      </c>
      <c r="B29" s="16">
        <v>0</v>
      </c>
      <c r="C29" s="294" t="s">
        <v>40</v>
      </c>
      <c r="D29" s="295"/>
      <c r="E29" s="295"/>
      <c r="F29" s="295"/>
      <c r="G29" s="296"/>
      <c r="I29" s="17"/>
      <c r="J29" s="17"/>
      <c r="K29" s="17"/>
      <c r="L29" s="17"/>
    </row>
    <row r="30" spans="1:14" s="2" customFormat="1" ht="19.5" customHeight="1" x14ac:dyDescent="0.3">
      <c r="A30" s="14" t="s">
        <v>41</v>
      </c>
      <c r="B30" s="18">
        <f>B28-B29</f>
        <v>99.15</v>
      </c>
      <c r="C30" s="19"/>
      <c r="D30" s="19"/>
      <c r="E30" s="19"/>
      <c r="F30" s="19"/>
      <c r="G30" s="20"/>
      <c r="I30" s="17"/>
      <c r="J30" s="17"/>
      <c r="K30" s="17"/>
      <c r="L30" s="17"/>
    </row>
    <row r="31" spans="1:14" s="2" customFormat="1" ht="27" customHeight="1" x14ac:dyDescent="0.4">
      <c r="A31" s="14" t="s">
        <v>42</v>
      </c>
      <c r="B31" s="21">
        <v>1</v>
      </c>
      <c r="C31" s="297" t="s">
        <v>43</v>
      </c>
      <c r="D31" s="298"/>
      <c r="E31" s="298"/>
      <c r="F31" s="298"/>
      <c r="G31" s="298"/>
      <c r="H31" s="299"/>
      <c r="I31" s="17"/>
      <c r="J31" s="17"/>
      <c r="K31" s="17"/>
      <c r="L31" s="17"/>
    </row>
    <row r="32" spans="1:14" s="2" customFormat="1" ht="27" customHeight="1" x14ac:dyDescent="0.4">
      <c r="A32" s="14" t="s">
        <v>44</v>
      </c>
      <c r="B32" s="21">
        <v>1</v>
      </c>
      <c r="C32" s="297" t="s">
        <v>45</v>
      </c>
      <c r="D32" s="298"/>
      <c r="E32" s="298"/>
      <c r="F32" s="298"/>
      <c r="G32" s="298"/>
      <c r="H32" s="299"/>
      <c r="I32" s="17"/>
      <c r="J32" s="17"/>
      <c r="K32" s="17"/>
      <c r="L32" s="22"/>
      <c r="M32" s="22"/>
      <c r="N32" s="23"/>
    </row>
    <row r="33" spans="1:14" s="2" customFormat="1" ht="17.25" customHeight="1" x14ac:dyDescent="0.3">
      <c r="A33" s="14"/>
      <c r="B33" s="24"/>
      <c r="C33" s="25"/>
      <c r="D33" s="25"/>
      <c r="E33" s="25"/>
      <c r="F33" s="25"/>
      <c r="G33" s="25"/>
      <c r="H33" s="25"/>
      <c r="I33" s="17"/>
      <c r="J33" s="17"/>
      <c r="K33" s="17"/>
      <c r="L33" s="22"/>
      <c r="M33" s="22"/>
      <c r="N33" s="23"/>
    </row>
    <row r="34" spans="1:14" s="2" customFormat="1" ht="18.75" x14ac:dyDescent="0.3">
      <c r="A34" s="14" t="s">
        <v>46</v>
      </c>
      <c r="B34" s="26">
        <f>B31/B32</f>
        <v>1</v>
      </c>
      <c r="C34" s="4" t="s">
        <v>47</v>
      </c>
      <c r="D34" s="4"/>
      <c r="E34" s="4"/>
      <c r="F34" s="4"/>
      <c r="G34" s="4"/>
      <c r="I34" s="17"/>
      <c r="J34" s="17"/>
      <c r="K34" s="17"/>
      <c r="L34" s="22"/>
      <c r="M34" s="22"/>
      <c r="N34" s="23"/>
    </row>
    <row r="35" spans="1:14" s="2" customFormat="1" ht="19.5" customHeight="1" x14ac:dyDescent="0.3">
      <c r="A35" s="14"/>
      <c r="B35" s="18"/>
      <c r="G35" s="4"/>
      <c r="I35" s="17"/>
      <c r="J35" s="17"/>
      <c r="K35" s="17"/>
      <c r="L35" s="22"/>
      <c r="M35" s="22"/>
      <c r="N35" s="23"/>
    </row>
    <row r="36" spans="1:14" s="2" customFormat="1" ht="27" customHeight="1" x14ac:dyDescent="0.4">
      <c r="A36" s="27" t="s">
        <v>48</v>
      </c>
      <c r="B36" s="28">
        <v>50</v>
      </c>
      <c r="C36" s="4"/>
      <c r="D36" s="300" t="s">
        <v>49</v>
      </c>
      <c r="E36" s="301"/>
      <c r="F36" s="300" t="s">
        <v>50</v>
      </c>
      <c r="G36" s="302"/>
      <c r="J36" s="17"/>
      <c r="K36" s="17"/>
      <c r="L36" s="22"/>
      <c r="M36" s="22"/>
      <c r="N36" s="23"/>
    </row>
    <row r="37" spans="1:14" s="2" customFormat="1" ht="27" customHeight="1" x14ac:dyDescent="0.4">
      <c r="A37" s="29" t="s">
        <v>51</v>
      </c>
      <c r="B37" s="30">
        <v>5</v>
      </c>
      <c r="C37" s="31" t="s">
        <v>52</v>
      </c>
      <c r="D37" s="32" t="s">
        <v>53</v>
      </c>
      <c r="E37" s="33" t="s">
        <v>54</v>
      </c>
      <c r="F37" s="32" t="s">
        <v>53</v>
      </c>
      <c r="G37" s="34" t="s">
        <v>54</v>
      </c>
      <c r="I37" s="35" t="s">
        <v>55</v>
      </c>
      <c r="J37" s="17"/>
      <c r="K37" s="17"/>
      <c r="L37" s="22"/>
      <c r="M37" s="22"/>
      <c r="N37" s="23"/>
    </row>
    <row r="38" spans="1:14" s="2" customFormat="1" ht="26.25" customHeight="1" x14ac:dyDescent="0.4">
      <c r="A38" s="29" t="s">
        <v>56</v>
      </c>
      <c r="B38" s="30">
        <v>100</v>
      </c>
      <c r="C38" s="36">
        <v>1</v>
      </c>
      <c r="D38" s="185">
        <v>180269550</v>
      </c>
      <c r="E38" s="37">
        <f>IF(ISBLANK(D38),"-",$D$48/$D$45*D38)</f>
        <v>189075475.5689584</v>
      </c>
      <c r="F38" s="185">
        <v>174961367</v>
      </c>
      <c r="G38" s="38">
        <f>IF(ISBLANK(F38),"-",$D$48/$F$45*F38)</f>
        <v>191972680.53476307</v>
      </c>
      <c r="I38" s="39"/>
      <c r="J38" s="17"/>
      <c r="K38" s="17"/>
      <c r="L38" s="22"/>
      <c r="M38" s="22"/>
      <c r="N38" s="23"/>
    </row>
    <row r="39" spans="1:14" s="2" customFormat="1" ht="26.25" customHeight="1" x14ac:dyDescent="0.4">
      <c r="A39" s="29" t="s">
        <v>57</v>
      </c>
      <c r="B39" s="30">
        <v>1</v>
      </c>
      <c r="C39" s="40">
        <v>2</v>
      </c>
      <c r="D39" s="186">
        <v>181286470</v>
      </c>
      <c r="E39" s="42">
        <f>IF(ISBLANK(D39),"-",$D$48/$D$45*D39)</f>
        <v>190142070.74610054</v>
      </c>
      <c r="F39" s="186">
        <v>176111792</v>
      </c>
      <c r="G39" s="43">
        <f>IF(ISBLANK(F39),"-",$D$48/$F$45*F39)</f>
        <v>193234960.17278284</v>
      </c>
      <c r="I39" s="304">
        <f>ABS((F43/D43*D42)-F42)/D42</f>
        <v>1.7539877063984945E-2</v>
      </c>
      <c r="J39" s="17"/>
      <c r="K39" s="17"/>
      <c r="L39" s="22"/>
      <c r="M39" s="22"/>
      <c r="N39" s="23"/>
    </row>
    <row r="40" spans="1:14" ht="26.25" customHeight="1" x14ac:dyDescent="0.4">
      <c r="A40" s="29" t="s">
        <v>58</v>
      </c>
      <c r="B40" s="30">
        <v>1</v>
      </c>
      <c r="C40" s="40">
        <v>3</v>
      </c>
      <c r="D40" s="186">
        <v>180596235</v>
      </c>
      <c r="E40" s="42">
        <f>IF(ISBLANK(D40),"-",$D$48/$D$45*D40)</f>
        <v>189418118.69274855</v>
      </c>
      <c r="F40" s="186">
        <v>176683164</v>
      </c>
      <c r="G40" s="43">
        <f>IF(ISBLANK(F40),"-",$D$48/$F$45*F40)</f>
        <v>193861886.08393273</v>
      </c>
      <c r="I40" s="304"/>
      <c r="L40" s="22"/>
      <c r="M40" s="22"/>
      <c r="N40" s="44"/>
    </row>
    <row r="41" spans="1:14" ht="27" customHeight="1" x14ac:dyDescent="0.4">
      <c r="A41" s="29" t="s">
        <v>59</v>
      </c>
      <c r="B41" s="30">
        <v>1</v>
      </c>
      <c r="C41" s="45">
        <v>4</v>
      </c>
      <c r="D41" s="46"/>
      <c r="E41" s="47" t="str">
        <f>IF(ISBLANK(D41),"-",$D$48/$D$45*D41)</f>
        <v>-</v>
      </c>
      <c r="F41" s="46"/>
      <c r="G41" s="48" t="str">
        <f>IF(ISBLANK(F41),"-",$D$48/$F$45*F41)</f>
        <v>-</v>
      </c>
      <c r="I41" s="49"/>
      <c r="L41" s="22"/>
      <c r="M41" s="22"/>
      <c r="N41" s="44"/>
    </row>
    <row r="42" spans="1:14" ht="27" customHeight="1" x14ac:dyDescent="0.4">
      <c r="A42" s="29" t="s">
        <v>60</v>
      </c>
      <c r="B42" s="30">
        <v>1</v>
      </c>
      <c r="C42" s="50" t="s">
        <v>61</v>
      </c>
      <c r="D42" s="51">
        <f>AVERAGE(D38:D41)</f>
        <v>180717418.33333334</v>
      </c>
      <c r="E42" s="52">
        <f>AVERAGE(E38:E41)</f>
        <v>189545221.66926917</v>
      </c>
      <c r="F42" s="51">
        <f>AVERAGE(F38:F41)</f>
        <v>175918774.33333334</v>
      </c>
      <c r="G42" s="53">
        <f>AVERAGE(G38:G41)</f>
        <v>193023175.59715953</v>
      </c>
      <c r="H42" s="54"/>
    </row>
    <row r="43" spans="1:14" ht="26.25" customHeight="1" x14ac:dyDescent="0.4">
      <c r="A43" s="29" t="s">
        <v>62</v>
      </c>
      <c r="B43" s="30">
        <v>1</v>
      </c>
      <c r="C43" s="55" t="s">
        <v>63</v>
      </c>
      <c r="D43" s="56">
        <v>24.04</v>
      </c>
      <c r="E43" s="44"/>
      <c r="F43" s="56">
        <v>22.98</v>
      </c>
      <c r="H43" s="54"/>
    </row>
    <row r="44" spans="1:14" ht="26.25" customHeight="1" x14ac:dyDescent="0.4">
      <c r="A44" s="29" t="s">
        <v>64</v>
      </c>
      <c r="B44" s="30">
        <v>1</v>
      </c>
      <c r="C44" s="57" t="s">
        <v>65</v>
      </c>
      <c r="D44" s="58">
        <f>D43*$B$34</f>
        <v>24.04</v>
      </c>
      <c r="E44" s="59"/>
      <c r="F44" s="58">
        <f>F43*$B$34</f>
        <v>22.98</v>
      </c>
      <c r="H44" s="54"/>
    </row>
    <row r="45" spans="1:14" ht="19.5" customHeight="1" x14ac:dyDescent="0.3">
      <c r="A45" s="29" t="s">
        <v>66</v>
      </c>
      <c r="B45" s="60">
        <f>(B44/B43)*(B42/B41)*(B40/B39)*(B38/B37)*B36</f>
        <v>1000</v>
      </c>
      <c r="C45" s="57" t="s">
        <v>67</v>
      </c>
      <c r="D45" s="61">
        <f>D44*$B$30/100</f>
        <v>23.835660000000004</v>
      </c>
      <c r="E45" s="62"/>
      <c r="F45" s="61">
        <f>F44*$B$30/100</f>
        <v>22.784670000000002</v>
      </c>
      <c r="H45" s="54"/>
    </row>
    <row r="46" spans="1:14" ht="19.5" customHeight="1" x14ac:dyDescent="0.3">
      <c r="A46" s="305" t="s">
        <v>68</v>
      </c>
      <c r="B46" s="306"/>
      <c r="C46" s="57" t="s">
        <v>69</v>
      </c>
      <c r="D46" s="63">
        <f>D45/$B$45</f>
        <v>2.3835660000000005E-2</v>
      </c>
      <c r="E46" s="64"/>
      <c r="F46" s="65">
        <f>F45/$B$45</f>
        <v>2.2784670000000003E-2</v>
      </c>
      <c r="H46" s="54"/>
    </row>
    <row r="47" spans="1:14" ht="27" customHeight="1" x14ac:dyDescent="0.4">
      <c r="A47" s="307"/>
      <c r="B47" s="308"/>
      <c r="C47" s="66" t="s">
        <v>70</v>
      </c>
      <c r="D47" s="67">
        <v>2.5000000000000001E-2</v>
      </c>
      <c r="E47" s="68"/>
      <c r="F47" s="64"/>
      <c r="H47" s="54"/>
    </row>
    <row r="48" spans="1:14" ht="18.75" x14ac:dyDescent="0.3">
      <c r="C48" s="69" t="s">
        <v>71</v>
      </c>
      <c r="D48" s="61">
        <f>D47*$B$45</f>
        <v>25</v>
      </c>
      <c r="F48" s="70"/>
      <c r="H48" s="54"/>
    </row>
    <row r="49" spans="1:12" ht="19.5" customHeight="1" x14ac:dyDescent="0.3">
      <c r="C49" s="71" t="s">
        <v>72</v>
      </c>
      <c r="D49" s="72">
        <f>D48/B34</f>
        <v>25</v>
      </c>
      <c r="F49" s="70"/>
      <c r="H49" s="54"/>
    </row>
    <row r="50" spans="1:12" ht="18.75" x14ac:dyDescent="0.3">
      <c r="C50" s="27" t="s">
        <v>73</v>
      </c>
      <c r="D50" s="73">
        <f>AVERAGE(E38:E41,G38:G41)</f>
        <v>191284198.63321435</v>
      </c>
      <c r="F50" s="74"/>
      <c r="H50" s="54"/>
    </row>
    <row r="51" spans="1:12" ht="18.75" x14ac:dyDescent="0.3">
      <c r="C51" s="29" t="s">
        <v>74</v>
      </c>
      <c r="D51" s="75">
        <f>STDEV(E38:E41,G38:G41)/D50</f>
        <v>1.0608519498460926E-2</v>
      </c>
      <c r="F51" s="74"/>
      <c r="H51" s="54"/>
    </row>
    <row r="52" spans="1:12" ht="19.5" customHeight="1" x14ac:dyDescent="0.3">
      <c r="C52" s="76" t="s">
        <v>20</v>
      </c>
      <c r="D52" s="77">
        <f>COUNT(E38:E41,G38:G41)</f>
        <v>6</v>
      </c>
      <c r="F52" s="74"/>
    </row>
    <row r="54" spans="1:12" ht="18.75" x14ac:dyDescent="0.3">
      <c r="A54" s="78" t="s">
        <v>1</v>
      </c>
      <c r="B54" s="79" t="s">
        <v>75</v>
      </c>
    </row>
    <row r="55" spans="1:12" ht="18.75" x14ac:dyDescent="0.3">
      <c r="A55" s="4" t="s">
        <v>76</v>
      </c>
      <c r="B55" s="80" t="str">
        <f>B21</f>
        <v xml:space="preserve">Each Tablet contins Nevirapine USP 200mg </v>
      </c>
    </row>
    <row r="56" spans="1:12" ht="26.25" customHeight="1" x14ac:dyDescent="0.4">
      <c r="A56" s="81" t="s">
        <v>77</v>
      </c>
      <c r="B56" s="82">
        <v>200</v>
      </c>
      <c r="C56" s="4" t="str">
        <f>B20</f>
        <v>Nevirapine USP</v>
      </c>
      <c r="H56" s="83"/>
    </row>
    <row r="57" spans="1:12" ht="18.75" x14ac:dyDescent="0.3">
      <c r="A57" s="80" t="s">
        <v>78</v>
      </c>
      <c r="B57" s="172">
        <f>Uniformity!B49</f>
        <v>362.70749999999998</v>
      </c>
      <c r="H57" s="83"/>
    </row>
    <row r="58" spans="1:12" ht="19.5" customHeight="1" x14ac:dyDescent="0.3">
      <c r="H58" s="83"/>
    </row>
    <row r="59" spans="1:12" s="2" customFormat="1" ht="27" customHeight="1" x14ac:dyDescent="0.4">
      <c r="A59" s="27" t="s">
        <v>79</v>
      </c>
      <c r="B59" s="28">
        <v>250</v>
      </c>
      <c r="C59" s="4"/>
      <c r="D59" s="84" t="s">
        <v>80</v>
      </c>
      <c r="E59" s="85" t="s">
        <v>52</v>
      </c>
      <c r="F59" s="85" t="s">
        <v>53</v>
      </c>
      <c r="G59" s="85" t="s">
        <v>81</v>
      </c>
      <c r="H59" s="31" t="s">
        <v>82</v>
      </c>
      <c r="L59" s="17"/>
    </row>
    <row r="60" spans="1:12" s="2" customFormat="1" ht="26.25" customHeight="1" x14ac:dyDescent="0.4">
      <c r="A60" s="29" t="s">
        <v>83</v>
      </c>
      <c r="B60" s="30">
        <v>3</v>
      </c>
      <c r="C60" s="309" t="s">
        <v>84</v>
      </c>
      <c r="D60" s="312">
        <v>361.93</v>
      </c>
      <c r="E60" s="86">
        <v>1</v>
      </c>
      <c r="F60" s="87">
        <v>187035236</v>
      </c>
      <c r="G60" s="173">
        <f>IF(ISBLANK(F60),"-",(F60/$D$50*$D$47*$B$68)*($B$57/$D$60))</f>
        <v>204.14326284896509</v>
      </c>
      <c r="H60" s="88">
        <f t="shared" ref="H60:H71" si="0">IF(ISBLANK(F60),"-",G60/$B$56)</f>
        <v>1.0207163142448255</v>
      </c>
      <c r="L60" s="17"/>
    </row>
    <row r="61" spans="1:12" s="2" customFormat="1" ht="26.25" customHeight="1" x14ac:dyDescent="0.4">
      <c r="A61" s="29" t="s">
        <v>85</v>
      </c>
      <c r="B61" s="30">
        <v>100</v>
      </c>
      <c r="C61" s="310"/>
      <c r="D61" s="313"/>
      <c r="E61" s="89">
        <v>2</v>
      </c>
      <c r="F61" s="41">
        <v>187735590</v>
      </c>
      <c r="G61" s="174">
        <f>IF(ISBLANK(F61),"-",(F61/$D$50*$D$47*$B$68)*($B$57/$D$60))</f>
        <v>204.90767790661403</v>
      </c>
      <c r="H61" s="90">
        <f t="shared" si="0"/>
        <v>1.0245383895330702</v>
      </c>
      <c r="L61" s="17"/>
    </row>
    <row r="62" spans="1:12" s="2" customFormat="1" ht="26.25" customHeight="1" x14ac:dyDescent="0.4">
      <c r="A62" s="29" t="s">
        <v>86</v>
      </c>
      <c r="B62" s="30">
        <v>1</v>
      </c>
      <c r="C62" s="310"/>
      <c r="D62" s="313"/>
      <c r="E62" s="89">
        <v>3</v>
      </c>
      <c r="F62" s="91">
        <v>188586171</v>
      </c>
      <c r="G62" s="174">
        <f>IF(ISBLANK(F62),"-",(F62/$D$50*$D$47*$B$68)*($B$57/$D$60))</f>
        <v>205.83606115872666</v>
      </c>
      <c r="H62" s="90">
        <f t="shared" si="0"/>
        <v>1.0291803057936333</v>
      </c>
      <c r="L62" s="17"/>
    </row>
    <row r="63" spans="1:12" ht="27" customHeight="1" x14ac:dyDescent="0.4">
      <c r="A63" s="29" t="s">
        <v>87</v>
      </c>
      <c r="B63" s="30">
        <v>1</v>
      </c>
      <c r="C63" s="311"/>
      <c r="D63" s="314"/>
      <c r="E63" s="92">
        <v>4</v>
      </c>
      <c r="F63" s="93"/>
      <c r="G63" s="174" t="str">
        <f>IF(ISBLANK(F63),"-",(F63/$D$50*$D$47*$B$68)*($B$57/$D$60))</f>
        <v>-</v>
      </c>
      <c r="H63" s="90" t="str">
        <f t="shared" si="0"/>
        <v>-</v>
      </c>
    </row>
    <row r="64" spans="1:12" ht="26.25" customHeight="1" x14ac:dyDescent="0.4">
      <c r="A64" s="29" t="s">
        <v>88</v>
      </c>
      <c r="B64" s="30">
        <v>1</v>
      </c>
      <c r="C64" s="309" t="s">
        <v>89</v>
      </c>
      <c r="D64" s="312">
        <v>366.16</v>
      </c>
      <c r="E64" s="86">
        <v>1</v>
      </c>
      <c r="F64" s="87">
        <v>189789628</v>
      </c>
      <c r="G64" s="175">
        <f>IF(ISBLANK(F64),"-",(F64/$D$50*$D$47*$B$68)*($B$57/$D$64))</f>
        <v>204.75653795479244</v>
      </c>
      <c r="H64" s="94">
        <f t="shared" si="0"/>
        <v>1.0237826897739621</v>
      </c>
    </row>
    <row r="65" spans="1:8" ht="26.25" customHeight="1" x14ac:dyDescent="0.4">
      <c r="A65" s="29" t="s">
        <v>90</v>
      </c>
      <c r="B65" s="30">
        <v>1</v>
      </c>
      <c r="C65" s="310"/>
      <c r="D65" s="313"/>
      <c r="E65" s="89">
        <v>2</v>
      </c>
      <c r="F65" s="41">
        <v>192174731</v>
      </c>
      <c r="G65" s="176">
        <f>IF(ISBLANK(F65),"-",(F65/$D$50*$D$47*$B$68)*($B$57/$D$64))</f>
        <v>207.32973143270786</v>
      </c>
      <c r="H65" s="95">
        <f t="shared" si="0"/>
        <v>1.0366486571635394</v>
      </c>
    </row>
    <row r="66" spans="1:8" ht="26.25" customHeight="1" x14ac:dyDescent="0.4">
      <c r="A66" s="29" t="s">
        <v>91</v>
      </c>
      <c r="B66" s="30">
        <v>1</v>
      </c>
      <c r="C66" s="310"/>
      <c r="D66" s="313"/>
      <c r="E66" s="89">
        <v>3</v>
      </c>
      <c r="F66" s="41">
        <v>190391087</v>
      </c>
      <c r="G66" s="176">
        <f>IF(ISBLANK(F66),"-",(F66/$D$50*$D$47*$B$68)*($B$57/$D$64))</f>
        <v>205.40542832809436</v>
      </c>
      <c r="H66" s="95">
        <f t="shared" si="0"/>
        <v>1.0270271416404717</v>
      </c>
    </row>
    <row r="67" spans="1:8" ht="27" customHeight="1" x14ac:dyDescent="0.4">
      <c r="A67" s="29" t="s">
        <v>92</v>
      </c>
      <c r="B67" s="30">
        <v>1</v>
      </c>
      <c r="C67" s="311"/>
      <c r="D67" s="314"/>
      <c r="E67" s="92">
        <v>4</v>
      </c>
      <c r="F67" s="93"/>
      <c r="G67" s="177" t="str">
        <f>IF(ISBLANK(F67),"-",(F67/$D$50*$D$47*$B$68)*($B$57/$D$64))</f>
        <v>-</v>
      </c>
      <c r="H67" s="96" t="str">
        <f t="shared" si="0"/>
        <v>-</v>
      </c>
    </row>
    <row r="68" spans="1:8" ht="26.25" customHeight="1" x14ac:dyDescent="0.4">
      <c r="A68" s="29" t="s">
        <v>93</v>
      </c>
      <c r="B68" s="97">
        <f>(B67/B66)*(B65/B64)*(B63/B62)*(B61/B60)*B59</f>
        <v>8333.3333333333339</v>
      </c>
      <c r="C68" s="309" t="s">
        <v>94</v>
      </c>
      <c r="D68" s="312">
        <v>362.53</v>
      </c>
      <c r="E68" s="86">
        <v>1</v>
      </c>
      <c r="F68" s="87">
        <v>185782957</v>
      </c>
      <c r="G68" s="175">
        <f>IF(ISBLANK(F68),"-",(F68/$D$50*$D$47*$B$68)*($B$57/$D$68))</f>
        <v>202.44083627275808</v>
      </c>
      <c r="H68" s="90">
        <f t="shared" si="0"/>
        <v>1.0122041813637903</v>
      </c>
    </row>
    <row r="69" spans="1:8" ht="27" customHeight="1" x14ac:dyDescent="0.4">
      <c r="A69" s="76" t="s">
        <v>95</v>
      </c>
      <c r="B69" s="98">
        <f>(D47*B68)/B56*B57</f>
        <v>377.82031250000011</v>
      </c>
      <c r="C69" s="310"/>
      <c r="D69" s="313"/>
      <c r="E69" s="89">
        <v>2</v>
      </c>
      <c r="F69" s="41">
        <v>186538888</v>
      </c>
      <c r="G69" s="176">
        <f>IF(ISBLANK(F69),"-",(F69/$D$50*$D$47*$B$68)*($B$57/$D$68))</f>
        <v>203.26454640352375</v>
      </c>
      <c r="H69" s="90">
        <f t="shared" si="0"/>
        <v>1.0163227320176187</v>
      </c>
    </row>
    <row r="70" spans="1:8" ht="26.25" customHeight="1" x14ac:dyDescent="0.4">
      <c r="A70" s="322" t="s">
        <v>68</v>
      </c>
      <c r="B70" s="323"/>
      <c r="C70" s="310"/>
      <c r="D70" s="313"/>
      <c r="E70" s="89">
        <v>3</v>
      </c>
      <c r="F70" s="41">
        <v>186714823</v>
      </c>
      <c r="G70" s="176">
        <f>IF(ISBLANK(F70),"-",(F70/$D$50*$D$47*$B$68)*($B$57/$D$68))</f>
        <v>203.45625628426191</v>
      </c>
      <c r="H70" s="90">
        <f t="shared" si="0"/>
        <v>1.0172812814213095</v>
      </c>
    </row>
    <row r="71" spans="1:8" ht="27" customHeight="1" x14ac:dyDescent="0.4">
      <c r="A71" s="324"/>
      <c r="B71" s="325"/>
      <c r="C71" s="321"/>
      <c r="D71" s="314"/>
      <c r="E71" s="92">
        <v>4</v>
      </c>
      <c r="F71" s="93"/>
      <c r="G71" s="177" t="str">
        <f>IF(ISBLANK(F71),"-",(F71/$D$50*$D$47*$B$68)*($B$57/$D$68))</f>
        <v>-</v>
      </c>
      <c r="H71" s="99" t="str">
        <f t="shared" si="0"/>
        <v>-</v>
      </c>
    </row>
    <row r="72" spans="1:8" ht="26.25" customHeight="1" x14ac:dyDescent="0.4">
      <c r="A72" s="100"/>
      <c r="B72" s="100"/>
      <c r="C72" s="100"/>
      <c r="D72" s="100"/>
      <c r="E72" s="100"/>
      <c r="F72" s="102" t="s">
        <v>61</v>
      </c>
      <c r="G72" s="182">
        <f>AVERAGE(G60:G71)</f>
        <v>204.61559317671603</v>
      </c>
      <c r="H72" s="103">
        <f>AVERAGE(H60:H71)</f>
        <v>1.02307796588358</v>
      </c>
    </row>
    <row r="73" spans="1:8" ht="26.25" customHeight="1" x14ac:dyDescent="0.4">
      <c r="C73" s="100"/>
      <c r="D73" s="100"/>
      <c r="E73" s="100"/>
      <c r="F73" s="104" t="s">
        <v>74</v>
      </c>
      <c r="G73" s="178">
        <f>STDEV(G60:G71)/G72</f>
        <v>7.2709429198291537E-3</v>
      </c>
      <c r="H73" s="178">
        <f>STDEV(H60:H71)/H72</f>
        <v>7.2709429198291944E-3</v>
      </c>
    </row>
    <row r="74" spans="1:8" ht="27" customHeight="1" x14ac:dyDescent="0.4">
      <c r="A74" s="100"/>
      <c r="B74" s="100"/>
      <c r="C74" s="101"/>
      <c r="D74" s="101"/>
      <c r="E74" s="105"/>
      <c r="F74" s="106" t="s">
        <v>20</v>
      </c>
      <c r="G74" s="107">
        <f>COUNT(G60:G71)</f>
        <v>9</v>
      </c>
      <c r="H74" s="107">
        <f>COUNT(H60:H71)</f>
        <v>9</v>
      </c>
    </row>
    <row r="76" spans="1:8" ht="26.25" customHeight="1" x14ac:dyDescent="0.4">
      <c r="A76" s="13" t="s">
        <v>96</v>
      </c>
      <c r="B76" s="108" t="s">
        <v>97</v>
      </c>
      <c r="C76" s="317" t="str">
        <f>B20</f>
        <v>Nevirapine USP</v>
      </c>
      <c r="D76" s="317"/>
      <c r="E76" s="109" t="s">
        <v>98</v>
      </c>
      <c r="F76" s="109"/>
      <c r="G76" s="110">
        <f>H72</f>
        <v>1.02307796588358</v>
      </c>
      <c r="H76" s="111"/>
    </row>
    <row r="77" spans="1:8" ht="18.75" x14ac:dyDescent="0.3">
      <c r="A77" s="12" t="s">
        <v>99</v>
      </c>
      <c r="B77" s="12" t="s">
        <v>100</v>
      </c>
    </row>
    <row r="78" spans="1:8" ht="18.75" x14ac:dyDescent="0.3">
      <c r="A78" s="12"/>
      <c r="B78" s="12"/>
    </row>
    <row r="79" spans="1:8" ht="26.25" customHeight="1" x14ac:dyDescent="0.4">
      <c r="A79" s="13" t="s">
        <v>4</v>
      </c>
      <c r="B79" s="303" t="str">
        <f>B26</f>
        <v>Nevirapine</v>
      </c>
      <c r="C79" s="303"/>
    </row>
    <row r="80" spans="1:8" ht="26.25" customHeight="1" x14ac:dyDescent="0.4">
      <c r="A80" s="14" t="s">
        <v>38</v>
      </c>
      <c r="B80" s="303" t="str">
        <f>B27</f>
        <v>N1-2</v>
      </c>
      <c r="C80" s="303"/>
    </row>
    <row r="81" spans="1:12" ht="27" customHeight="1" x14ac:dyDescent="0.4">
      <c r="A81" s="14" t="s">
        <v>6</v>
      </c>
      <c r="B81" s="112">
        <f>B28</f>
        <v>99.15</v>
      </c>
    </row>
    <row r="82" spans="1:12" s="2" customFormat="1" ht="27" customHeight="1" x14ac:dyDescent="0.4">
      <c r="A82" s="14" t="s">
        <v>39</v>
      </c>
      <c r="B82" s="16">
        <v>0</v>
      </c>
      <c r="C82" s="294" t="s">
        <v>40</v>
      </c>
      <c r="D82" s="295"/>
      <c r="E82" s="295"/>
      <c r="F82" s="295"/>
      <c r="G82" s="296"/>
      <c r="I82" s="17"/>
      <c r="J82" s="17"/>
      <c r="K82" s="17"/>
      <c r="L82" s="17"/>
    </row>
    <row r="83" spans="1:12" s="2" customFormat="1" ht="19.5" customHeight="1" x14ac:dyDescent="0.3">
      <c r="A83" s="14" t="s">
        <v>41</v>
      </c>
      <c r="B83" s="18">
        <f>B81-B82</f>
        <v>99.15</v>
      </c>
      <c r="C83" s="19"/>
      <c r="D83" s="19"/>
      <c r="E83" s="19"/>
      <c r="F83" s="19"/>
      <c r="G83" s="20"/>
      <c r="I83" s="17"/>
      <c r="J83" s="17"/>
      <c r="K83" s="17"/>
      <c r="L83" s="17"/>
    </row>
    <row r="84" spans="1:12" s="2" customFormat="1" ht="27" customHeight="1" x14ac:dyDescent="0.4">
      <c r="A84" s="14" t="s">
        <v>42</v>
      </c>
      <c r="B84" s="21">
        <v>1</v>
      </c>
      <c r="C84" s="297" t="s">
        <v>101</v>
      </c>
      <c r="D84" s="298"/>
      <c r="E84" s="298"/>
      <c r="F84" s="298"/>
      <c r="G84" s="298"/>
      <c r="H84" s="299"/>
      <c r="I84" s="17"/>
      <c r="J84" s="17"/>
      <c r="K84" s="17"/>
      <c r="L84" s="17"/>
    </row>
    <row r="85" spans="1:12" s="2" customFormat="1" ht="27" customHeight="1" x14ac:dyDescent="0.4">
      <c r="A85" s="14" t="s">
        <v>44</v>
      </c>
      <c r="B85" s="21">
        <v>1</v>
      </c>
      <c r="C85" s="297" t="s">
        <v>102</v>
      </c>
      <c r="D85" s="298"/>
      <c r="E85" s="298"/>
      <c r="F85" s="298"/>
      <c r="G85" s="298"/>
      <c r="H85" s="299"/>
      <c r="I85" s="17"/>
      <c r="J85" s="17"/>
      <c r="K85" s="17"/>
      <c r="L85" s="17"/>
    </row>
    <row r="86" spans="1:12" s="2" customFormat="1" ht="18.75" x14ac:dyDescent="0.3">
      <c r="A86" s="14"/>
      <c r="B86" s="24"/>
      <c r="C86" s="25"/>
      <c r="D86" s="25"/>
      <c r="E86" s="25"/>
      <c r="F86" s="25"/>
      <c r="G86" s="25"/>
      <c r="H86" s="25"/>
      <c r="I86" s="17"/>
      <c r="J86" s="17"/>
      <c r="K86" s="17"/>
      <c r="L86" s="17"/>
    </row>
    <row r="87" spans="1:12" s="2" customFormat="1" ht="18.75" x14ac:dyDescent="0.3">
      <c r="A87" s="14" t="s">
        <v>46</v>
      </c>
      <c r="B87" s="26">
        <f>B84/B85</f>
        <v>1</v>
      </c>
      <c r="C87" s="4" t="s">
        <v>47</v>
      </c>
      <c r="D87" s="4"/>
      <c r="E87" s="4"/>
      <c r="F87" s="4"/>
      <c r="G87" s="4"/>
      <c r="I87" s="17"/>
      <c r="J87" s="17"/>
      <c r="K87" s="17"/>
      <c r="L87" s="17"/>
    </row>
    <row r="88" spans="1:12" ht="19.5" customHeight="1" x14ac:dyDescent="0.3">
      <c r="A88" s="12"/>
      <c r="B88" s="12"/>
    </row>
    <row r="89" spans="1:12" ht="27" customHeight="1" x14ac:dyDescent="0.4">
      <c r="A89" s="27" t="s">
        <v>48</v>
      </c>
      <c r="B89" s="28">
        <v>50</v>
      </c>
      <c r="D89" s="113" t="s">
        <v>49</v>
      </c>
      <c r="E89" s="114"/>
      <c r="F89" s="300" t="s">
        <v>50</v>
      </c>
      <c r="G89" s="302"/>
    </row>
    <row r="90" spans="1:12" ht="27" customHeight="1" x14ac:dyDescent="0.4">
      <c r="A90" s="29" t="s">
        <v>51</v>
      </c>
      <c r="B90" s="30">
        <v>3</v>
      </c>
      <c r="C90" s="115" t="s">
        <v>52</v>
      </c>
      <c r="D90" s="32" t="s">
        <v>53</v>
      </c>
      <c r="E90" s="33" t="s">
        <v>54</v>
      </c>
      <c r="F90" s="32" t="s">
        <v>53</v>
      </c>
      <c r="G90" s="116" t="s">
        <v>54</v>
      </c>
      <c r="I90" s="35" t="s">
        <v>55</v>
      </c>
    </row>
    <row r="91" spans="1:12" ht="26.25" customHeight="1" x14ac:dyDescent="0.4">
      <c r="A91" s="29" t="s">
        <v>56</v>
      </c>
      <c r="B91" s="30">
        <v>100</v>
      </c>
      <c r="C91" s="117">
        <v>1</v>
      </c>
      <c r="D91" s="185">
        <v>87775179</v>
      </c>
      <c r="E91" s="37">
        <f>IF(ISBLANK(D91),"-",$D$101/$D$98*D91)</f>
        <v>109111559.92510566</v>
      </c>
      <c r="F91" s="185">
        <v>83698496</v>
      </c>
      <c r="G91" s="38">
        <f>IF(ISBLANK(F91),"-",$D$101/$F$98*F91)</f>
        <v>108843158.01093616</v>
      </c>
      <c r="I91" s="39"/>
    </row>
    <row r="92" spans="1:12" ht="26.25" customHeight="1" x14ac:dyDescent="0.4">
      <c r="A92" s="29" t="s">
        <v>57</v>
      </c>
      <c r="B92" s="30">
        <v>1</v>
      </c>
      <c r="C92" s="101">
        <v>2</v>
      </c>
      <c r="D92" s="186">
        <v>87763493</v>
      </c>
      <c r="E92" s="42">
        <f>IF(ISBLANK(D92),"-",$D$101/$D$98*D92)</f>
        <v>109097033.29350193</v>
      </c>
      <c r="F92" s="186">
        <v>85028510</v>
      </c>
      <c r="G92" s="43">
        <f>IF(ISBLANK(F92),"-",$D$101/$F$98*F92)</f>
        <v>110572734.17869379</v>
      </c>
      <c r="I92" s="304">
        <f>ABS((F96/D96*D95)-F95)/D95</f>
        <v>6.8213232171410931E-3</v>
      </c>
    </row>
    <row r="93" spans="1:12" ht="26.25" customHeight="1" x14ac:dyDescent="0.4">
      <c r="A93" s="29" t="s">
        <v>58</v>
      </c>
      <c r="B93" s="30">
        <v>1</v>
      </c>
      <c r="C93" s="101">
        <v>3</v>
      </c>
      <c r="D93" s="186">
        <v>87879450</v>
      </c>
      <c r="E93" s="42">
        <f>IF(ISBLANK(D93),"-",$D$101/$D$98*D93)</f>
        <v>109241177.10839787</v>
      </c>
      <c r="F93" s="186">
        <v>84873034</v>
      </c>
      <c r="G93" s="43">
        <f>IF(ISBLANK(F93),"-",$D$101/$F$98*F93)</f>
        <v>110370550.15336902</v>
      </c>
      <c r="I93" s="304"/>
    </row>
    <row r="94" spans="1:12" ht="27" customHeight="1" x14ac:dyDescent="0.4">
      <c r="A94" s="29" t="s">
        <v>59</v>
      </c>
      <c r="B94" s="30">
        <v>1</v>
      </c>
      <c r="C94" s="118">
        <v>4</v>
      </c>
      <c r="D94" s="46"/>
      <c r="E94" s="47" t="str">
        <f>IF(ISBLANK(D94),"-",$D$101/$D$98*D94)</f>
        <v>-</v>
      </c>
      <c r="F94" s="119"/>
      <c r="G94" s="48" t="str">
        <f>IF(ISBLANK(F94),"-",$D$101/$F$98*F94)</f>
        <v>-</v>
      </c>
      <c r="I94" s="49"/>
    </row>
    <row r="95" spans="1:12" ht="27" customHeight="1" x14ac:dyDescent="0.4">
      <c r="A95" s="29" t="s">
        <v>60</v>
      </c>
      <c r="B95" s="30">
        <v>1</v>
      </c>
      <c r="C95" s="120" t="s">
        <v>61</v>
      </c>
      <c r="D95" s="121">
        <f>AVERAGE(D91:D94)</f>
        <v>87806040.666666672</v>
      </c>
      <c r="E95" s="52">
        <f>AVERAGE(E91:E94)</f>
        <v>109149923.44233517</v>
      </c>
      <c r="F95" s="122">
        <f>AVERAGE(F91:F94)</f>
        <v>84533346.666666672</v>
      </c>
      <c r="G95" s="123">
        <f>AVERAGE(G91:G94)</f>
        <v>109928814.11433299</v>
      </c>
    </row>
    <row r="96" spans="1:12" ht="26.25" customHeight="1" x14ac:dyDescent="0.4">
      <c r="A96" s="29" t="s">
        <v>62</v>
      </c>
      <c r="B96" s="15">
        <v>1</v>
      </c>
      <c r="C96" s="124" t="s">
        <v>103</v>
      </c>
      <c r="D96" s="125">
        <v>24.04</v>
      </c>
      <c r="E96" s="44"/>
      <c r="F96" s="56">
        <v>22.98</v>
      </c>
    </row>
    <row r="97" spans="1:10" ht="26.25" customHeight="1" x14ac:dyDescent="0.4">
      <c r="A97" s="29" t="s">
        <v>64</v>
      </c>
      <c r="B97" s="15">
        <v>1</v>
      </c>
      <c r="C97" s="126" t="s">
        <v>104</v>
      </c>
      <c r="D97" s="127">
        <f>D96*$B$87</f>
        <v>24.04</v>
      </c>
      <c r="E97" s="59"/>
      <c r="F97" s="58">
        <f>F96*$B$87</f>
        <v>22.98</v>
      </c>
    </row>
    <row r="98" spans="1:10" ht="19.5" customHeight="1" x14ac:dyDescent="0.3">
      <c r="A98" s="29" t="s">
        <v>66</v>
      </c>
      <c r="B98" s="128">
        <f>(B97/B96)*(B95/B94)*(B93/B92)*(B91/B90)*B89</f>
        <v>1666.6666666666667</v>
      </c>
      <c r="C98" s="126" t="s">
        <v>105</v>
      </c>
      <c r="D98" s="129">
        <f>D97*$B$83/100</f>
        <v>23.835660000000004</v>
      </c>
      <c r="E98" s="62"/>
      <c r="F98" s="61">
        <f>F97*$B$83/100</f>
        <v>22.784670000000002</v>
      </c>
    </row>
    <row r="99" spans="1:10" ht="19.5" customHeight="1" x14ac:dyDescent="0.3">
      <c r="A99" s="305" t="s">
        <v>68</v>
      </c>
      <c r="B99" s="319"/>
      <c r="C99" s="126" t="s">
        <v>106</v>
      </c>
      <c r="D99" s="130">
        <f>D98/$B$98</f>
        <v>1.4301396000000003E-2</v>
      </c>
      <c r="E99" s="62"/>
      <c r="F99" s="65">
        <f>F98/$B$98</f>
        <v>1.3670802000000001E-2</v>
      </c>
      <c r="G99" s="131"/>
      <c r="H99" s="54"/>
    </row>
    <row r="100" spans="1:10" ht="19.5" customHeight="1" x14ac:dyDescent="0.3">
      <c r="A100" s="307"/>
      <c r="B100" s="320"/>
      <c r="C100" s="126" t="s">
        <v>70</v>
      </c>
      <c r="D100" s="132">
        <f>$B$56/$B$116</f>
        <v>1.7777777777777778E-2</v>
      </c>
      <c r="F100" s="70"/>
      <c r="G100" s="133"/>
      <c r="H100" s="54"/>
    </row>
    <row r="101" spans="1:10" ht="18.75" x14ac:dyDescent="0.3">
      <c r="C101" s="126" t="s">
        <v>71</v>
      </c>
      <c r="D101" s="127">
        <f>D100*$B$98</f>
        <v>29.62962962962963</v>
      </c>
      <c r="F101" s="70"/>
      <c r="G101" s="131"/>
      <c r="H101" s="54"/>
    </row>
    <row r="102" spans="1:10" ht="19.5" customHeight="1" x14ac:dyDescent="0.3">
      <c r="C102" s="134" t="s">
        <v>72</v>
      </c>
      <c r="D102" s="135">
        <f>D101/B34</f>
        <v>29.62962962962963</v>
      </c>
      <c r="F102" s="74"/>
      <c r="G102" s="131"/>
      <c r="H102" s="54"/>
      <c r="J102" s="136"/>
    </row>
    <row r="103" spans="1:10" ht="18.75" x14ac:dyDescent="0.3">
      <c r="C103" s="137" t="s">
        <v>107</v>
      </c>
      <c r="D103" s="138">
        <f>AVERAGE(E91:E94,G91:G94)</f>
        <v>109539368.77833408</v>
      </c>
      <c r="F103" s="74"/>
      <c r="G103" s="139"/>
      <c r="H103" s="54"/>
      <c r="J103" s="140"/>
    </row>
    <row r="104" spans="1:10" ht="18.75" x14ac:dyDescent="0.3">
      <c r="C104" s="104" t="s">
        <v>74</v>
      </c>
      <c r="D104" s="141">
        <f>STDEV(E91:E94,G91:G94)/D103</f>
        <v>6.72218949007108E-3</v>
      </c>
      <c r="F104" s="74"/>
      <c r="G104" s="131"/>
      <c r="H104" s="54"/>
      <c r="J104" s="140"/>
    </row>
    <row r="105" spans="1:10" ht="19.5" customHeight="1" x14ac:dyDescent="0.3">
      <c r="C105" s="106" t="s">
        <v>20</v>
      </c>
      <c r="D105" s="142">
        <f>COUNT(E91:E94,G91:G94)</f>
        <v>6</v>
      </c>
      <c r="F105" s="74"/>
      <c r="G105" s="131"/>
      <c r="H105" s="54"/>
      <c r="J105" s="140"/>
    </row>
    <row r="106" spans="1:10" ht="19.5" customHeight="1" x14ac:dyDescent="0.3">
      <c r="A106" s="78"/>
      <c r="B106" s="78"/>
      <c r="C106" s="78"/>
      <c r="D106" s="78"/>
      <c r="E106" s="78"/>
    </row>
    <row r="107" spans="1:10" ht="26.25" customHeight="1" x14ac:dyDescent="0.4">
      <c r="A107" s="27" t="s">
        <v>108</v>
      </c>
      <c r="B107" s="28">
        <v>900</v>
      </c>
      <c r="C107" s="143" t="s">
        <v>109</v>
      </c>
      <c r="D107" s="144" t="s">
        <v>53</v>
      </c>
      <c r="E107" s="145" t="s">
        <v>110</v>
      </c>
      <c r="F107" s="146" t="s">
        <v>111</v>
      </c>
    </row>
    <row r="108" spans="1:10" ht="26.25" customHeight="1" x14ac:dyDescent="0.4">
      <c r="A108" s="29" t="s">
        <v>112</v>
      </c>
      <c r="B108" s="30">
        <v>4</v>
      </c>
      <c r="C108" s="147">
        <v>1</v>
      </c>
      <c r="D108" s="148">
        <v>89868602</v>
      </c>
      <c r="E108" s="179">
        <f t="shared" ref="E108:E113" si="1">IF(ISBLANK(D108),"-",D108/$D$103*$D$100*$B$116)</f>
        <v>164.0845716061406</v>
      </c>
      <c r="F108" s="149">
        <f t="shared" ref="F108:F113" si="2">IF(ISBLANK(D108), "-", E108/$B$56)</f>
        <v>0.82042285803070303</v>
      </c>
    </row>
    <row r="109" spans="1:10" ht="26.25" customHeight="1" x14ac:dyDescent="0.4">
      <c r="A109" s="29" t="s">
        <v>85</v>
      </c>
      <c r="B109" s="30">
        <v>50</v>
      </c>
      <c r="C109" s="147">
        <v>2</v>
      </c>
      <c r="D109" s="148">
        <v>90835607</v>
      </c>
      <c r="E109" s="180">
        <f t="shared" si="1"/>
        <v>165.85015599974224</v>
      </c>
      <c r="F109" s="150">
        <f t="shared" si="2"/>
        <v>0.82925077999871122</v>
      </c>
    </row>
    <row r="110" spans="1:10" ht="26.25" customHeight="1" x14ac:dyDescent="0.4">
      <c r="A110" s="29" t="s">
        <v>86</v>
      </c>
      <c r="B110" s="30">
        <v>1</v>
      </c>
      <c r="C110" s="147">
        <v>3</v>
      </c>
      <c r="D110" s="148">
        <v>90132500</v>
      </c>
      <c r="E110" s="180">
        <f t="shared" si="1"/>
        <v>164.56640385137479</v>
      </c>
      <c r="F110" s="150">
        <f t="shared" si="2"/>
        <v>0.82283201925687388</v>
      </c>
    </row>
    <row r="111" spans="1:10" ht="26.25" customHeight="1" x14ac:dyDescent="0.4">
      <c r="A111" s="29" t="s">
        <v>87</v>
      </c>
      <c r="B111" s="30">
        <v>1</v>
      </c>
      <c r="C111" s="147">
        <v>4</v>
      </c>
      <c r="D111" s="148">
        <v>90564250</v>
      </c>
      <c r="E111" s="180">
        <f t="shared" si="1"/>
        <v>165.35470490663045</v>
      </c>
      <c r="F111" s="150">
        <f t="shared" si="2"/>
        <v>0.82677352453315223</v>
      </c>
    </row>
    <row r="112" spans="1:10" ht="26.25" customHeight="1" x14ac:dyDescent="0.4">
      <c r="A112" s="29" t="s">
        <v>88</v>
      </c>
      <c r="B112" s="30">
        <v>1</v>
      </c>
      <c r="C112" s="147">
        <v>5</v>
      </c>
      <c r="D112" s="148">
        <v>88920363</v>
      </c>
      <c r="E112" s="180">
        <f t="shared" si="1"/>
        <v>162.35325069280054</v>
      </c>
      <c r="F112" s="150">
        <f t="shared" si="2"/>
        <v>0.81176625346400266</v>
      </c>
    </row>
    <row r="113" spans="1:10" ht="26.25" customHeight="1" x14ac:dyDescent="0.4">
      <c r="A113" s="29" t="s">
        <v>90</v>
      </c>
      <c r="B113" s="30">
        <v>1</v>
      </c>
      <c r="C113" s="151">
        <v>6</v>
      </c>
      <c r="D113" s="152">
        <v>87912956</v>
      </c>
      <c r="E113" s="181">
        <f t="shared" si="1"/>
        <v>160.5138992135372</v>
      </c>
      <c r="F113" s="153">
        <f t="shared" si="2"/>
        <v>0.80256949606768602</v>
      </c>
    </row>
    <row r="114" spans="1:10" ht="26.25" customHeight="1" x14ac:dyDescent="0.4">
      <c r="A114" s="29" t="s">
        <v>91</v>
      </c>
      <c r="B114" s="30">
        <v>1</v>
      </c>
      <c r="C114" s="147"/>
      <c r="D114" s="101"/>
      <c r="E114" s="3"/>
      <c r="F114" s="154"/>
    </row>
    <row r="115" spans="1:10" ht="26.25" customHeight="1" x14ac:dyDescent="0.4">
      <c r="A115" s="29" t="s">
        <v>92</v>
      </c>
      <c r="B115" s="30">
        <v>1</v>
      </c>
      <c r="C115" s="147"/>
      <c r="D115" s="155" t="s">
        <v>61</v>
      </c>
      <c r="E115" s="183">
        <f>AVERAGE(E108:E113)</f>
        <v>163.78716437837099</v>
      </c>
      <c r="F115" s="156">
        <f>AVERAGE(F108:F113)</f>
        <v>0.81893582189185476</v>
      </c>
    </row>
    <row r="116" spans="1:10" ht="27" customHeight="1" x14ac:dyDescent="0.4">
      <c r="A116" s="29" t="s">
        <v>93</v>
      </c>
      <c r="B116" s="60">
        <f>(B115/B114)*(B113/B112)*(B111/B110)*(B109/B108)*B107</f>
        <v>11250</v>
      </c>
      <c r="C116" s="157"/>
      <c r="D116" s="120" t="s">
        <v>74</v>
      </c>
      <c r="E116" s="158">
        <f>STDEV(E108:E113)/E115</f>
        <v>1.2265538932016689E-2</v>
      </c>
      <c r="F116" s="158">
        <f>STDEV(F108:F113)/F115</f>
        <v>1.2265538932016692E-2</v>
      </c>
      <c r="I116" s="3"/>
    </row>
    <row r="117" spans="1:10" ht="27" customHeight="1" x14ac:dyDescent="0.4">
      <c r="A117" s="305" t="s">
        <v>68</v>
      </c>
      <c r="B117" s="306"/>
      <c r="C117" s="159"/>
      <c r="D117" s="160" t="s">
        <v>20</v>
      </c>
      <c r="E117" s="161">
        <f>COUNT(E108:E113)</f>
        <v>6</v>
      </c>
      <c r="F117" s="161">
        <f>COUNT(F108:F113)</f>
        <v>6</v>
      </c>
      <c r="I117" s="3"/>
      <c r="J117" s="140"/>
    </row>
    <row r="118" spans="1:10" ht="19.5" customHeight="1" x14ac:dyDescent="0.3">
      <c r="A118" s="307"/>
      <c r="B118" s="308"/>
      <c r="C118" s="3"/>
      <c r="D118" s="3"/>
      <c r="E118" s="3"/>
      <c r="F118" s="101"/>
      <c r="G118" s="3"/>
      <c r="H118" s="3"/>
      <c r="I118" s="3"/>
    </row>
    <row r="119" spans="1:10" ht="18.75" x14ac:dyDescent="0.3">
      <c r="A119" s="170"/>
      <c r="B119" s="25"/>
      <c r="C119" s="3"/>
      <c r="D119" s="3"/>
      <c r="E119" s="3"/>
      <c r="F119" s="101"/>
      <c r="G119" s="3"/>
      <c r="H119" s="3"/>
      <c r="I119" s="3"/>
    </row>
    <row r="120" spans="1:10" ht="26.25" customHeight="1" x14ac:dyDescent="0.4">
      <c r="A120" s="13" t="s">
        <v>96</v>
      </c>
      <c r="B120" s="108" t="s">
        <v>113</v>
      </c>
      <c r="C120" s="317" t="str">
        <f>B20</f>
        <v>Nevirapine USP</v>
      </c>
      <c r="D120" s="317"/>
      <c r="E120" s="109" t="s">
        <v>114</v>
      </c>
      <c r="F120" s="109"/>
      <c r="G120" s="110">
        <f>F115</f>
        <v>0.81893582189185476</v>
      </c>
      <c r="H120" s="3"/>
      <c r="I120" s="3"/>
    </row>
    <row r="121" spans="1:10" ht="19.5" customHeight="1" x14ac:dyDescent="0.3">
      <c r="A121" s="162"/>
      <c r="B121" s="162"/>
      <c r="C121" s="163"/>
      <c r="D121" s="163"/>
      <c r="E121" s="163"/>
      <c r="F121" s="163"/>
      <c r="G121" s="163"/>
      <c r="H121" s="163"/>
    </row>
    <row r="122" spans="1:10" ht="18.75" x14ac:dyDescent="0.3">
      <c r="B122" s="318" t="s">
        <v>23</v>
      </c>
      <c r="C122" s="318"/>
      <c r="E122" s="115" t="s">
        <v>24</v>
      </c>
      <c r="F122" s="164"/>
      <c r="G122" s="318" t="s">
        <v>25</v>
      </c>
      <c r="H122" s="318"/>
    </row>
    <row r="123" spans="1:10" ht="69.95" customHeight="1" x14ac:dyDescent="0.3">
      <c r="A123" s="165" t="s">
        <v>26</v>
      </c>
      <c r="B123" s="166"/>
      <c r="C123" s="166"/>
      <c r="E123" s="166"/>
      <c r="F123" s="3"/>
      <c r="G123" s="167"/>
      <c r="H123" s="167"/>
    </row>
    <row r="124" spans="1:10" ht="69.95" customHeight="1" x14ac:dyDescent="0.3">
      <c r="A124" s="165" t="s">
        <v>27</v>
      </c>
      <c r="B124" s="168"/>
      <c r="C124" s="168"/>
      <c r="E124" s="168"/>
      <c r="F124" s="3"/>
      <c r="G124" s="169"/>
      <c r="H124" s="169"/>
    </row>
    <row r="125" spans="1:10" ht="18.75" x14ac:dyDescent="0.3">
      <c r="A125" s="100"/>
      <c r="B125" s="100"/>
      <c r="C125" s="101"/>
      <c r="D125" s="101"/>
      <c r="E125" s="101"/>
      <c r="F125" s="105"/>
      <c r="G125" s="101"/>
      <c r="H125" s="101"/>
      <c r="I125" s="3"/>
    </row>
    <row r="126" spans="1:10" ht="18.75" x14ac:dyDescent="0.3">
      <c r="A126" s="100"/>
      <c r="B126" s="100"/>
      <c r="C126" s="101"/>
      <c r="D126" s="101"/>
      <c r="E126" s="101"/>
      <c r="F126" s="105"/>
      <c r="G126" s="101"/>
      <c r="H126" s="101"/>
      <c r="I126" s="3"/>
    </row>
    <row r="127" spans="1:10" ht="18.75" x14ac:dyDescent="0.3">
      <c r="A127" s="100"/>
      <c r="B127" s="100"/>
      <c r="C127" s="101"/>
      <c r="D127" s="101"/>
      <c r="E127" s="101"/>
      <c r="F127" s="105"/>
      <c r="G127" s="101"/>
      <c r="H127" s="101"/>
      <c r="I127" s="3"/>
    </row>
    <row r="128" spans="1:10" ht="18.75" x14ac:dyDescent="0.3">
      <c r="A128" s="100"/>
      <c r="B128" s="100"/>
      <c r="C128" s="101"/>
      <c r="D128" s="101"/>
      <c r="E128" s="101"/>
      <c r="F128" s="105"/>
      <c r="G128" s="101"/>
      <c r="H128" s="101"/>
      <c r="I128" s="3"/>
    </row>
    <row r="129" spans="1:9" ht="18.75" x14ac:dyDescent="0.3">
      <c r="A129" s="100"/>
      <c r="B129" s="100"/>
      <c r="C129" s="101"/>
      <c r="D129" s="101"/>
      <c r="E129" s="101"/>
      <c r="F129" s="105"/>
      <c r="G129" s="101"/>
      <c r="H129" s="101"/>
      <c r="I129" s="3"/>
    </row>
    <row r="130" spans="1:9" ht="18.75" x14ac:dyDescent="0.3">
      <c r="A130" s="100"/>
      <c r="B130" s="100"/>
      <c r="C130" s="101"/>
      <c r="D130" s="101"/>
      <c r="E130" s="101"/>
      <c r="F130" s="105"/>
      <c r="G130" s="101"/>
      <c r="H130" s="101"/>
      <c r="I130" s="3"/>
    </row>
    <row r="131" spans="1:9" ht="18.75" x14ac:dyDescent="0.3">
      <c r="A131" s="100"/>
      <c r="B131" s="100"/>
      <c r="C131" s="101"/>
      <c r="D131" s="101"/>
      <c r="E131" s="101"/>
      <c r="F131" s="105"/>
      <c r="G131" s="101"/>
      <c r="H131" s="101"/>
      <c r="I131" s="3"/>
    </row>
    <row r="132" spans="1:9" ht="18.75" x14ac:dyDescent="0.3">
      <c r="A132" s="100"/>
      <c r="B132" s="100"/>
      <c r="C132" s="101"/>
      <c r="D132" s="101"/>
      <c r="E132" s="101"/>
      <c r="F132" s="105"/>
      <c r="G132" s="101"/>
      <c r="H132" s="101"/>
      <c r="I132" s="3"/>
    </row>
    <row r="133" spans="1:9" ht="18.75" x14ac:dyDescent="0.3">
      <c r="A133" s="100"/>
      <c r="B133" s="100"/>
      <c r="C133" s="101"/>
      <c r="D133" s="101"/>
      <c r="E133" s="101"/>
      <c r="F133" s="105"/>
      <c r="G133" s="101"/>
      <c r="H133" s="101"/>
      <c r="I133" s="3"/>
    </row>
    <row r="250" spans="1:1" x14ac:dyDescent="0.25">
      <c r="A250" s="1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:F26"/>
  <sheetViews>
    <sheetView workbookViewId="0">
      <selection activeCell="F26" sqref="F26"/>
    </sheetView>
  </sheetViews>
  <sheetFormatPr defaultRowHeight="12.75" x14ac:dyDescent="0.2"/>
  <sheetData>
    <row r="24" spans="6:6" x14ac:dyDescent="0.2">
      <c r="F24">
        <f>200/900*4/50</f>
        <v>1.7777777777777778E-2</v>
      </c>
    </row>
    <row r="26" spans="6:6" x14ac:dyDescent="0.2">
      <c r="F26">
        <f>200/900*3/50</f>
        <v>1.3333333333333332E-2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 (2)</vt:lpstr>
      <vt:lpstr>Uniformity</vt:lpstr>
      <vt:lpstr>NEVIRAPINE</vt:lpstr>
      <vt:lpstr>Sheet3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cp:lastPrinted>2016-06-16T13:19:01Z</cp:lastPrinted>
  <dcterms:created xsi:type="dcterms:W3CDTF">2005-07-05T10:19:27Z</dcterms:created>
  <dcterms:modified xsi:type="dcterms:W3CDTF">2016-06-16T13:20:34Z</dcterms:modified>
  <cp:category/>
</cp:coreProperties>
</file>