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16" yWindow="492" windowWidth="15012" windowHeight="7620"/>
  </bookViews>
  <sheets>
    <sheet name="Nevirapine (2)" sheetId="6" r:id="rId1"/>
    <sheet name="SST" sheetId="5" r:id="rId2"/>
    <sheet name="Uniformity" sheetId="2" r:id="rId3"/>
  </sheets>
  <definedNames>
    <definedName name="_xlnm.Print_Area" localSheetId="0">'Nevirapine (2)'!$A$1:$I$125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C120" i="6"/>
  <c r="B116" i="6"/>
  <c r="D100" i="6" s="1"/>
  <c r="D101" i="6" s="1"/>
  <c r="B98" i="6"/>
  <c r="F97" i="6"/>
  <c r="F98" i="6" s="1"/>
  <c r="F99" i="6" s="1"/>
  <c r="F95" i="6"/>
  <c r="D95" i="6"/>
  <c r="I92" i="6" s="1"/>
  <c r="G94" i="6"/>
  <c r="E94" i="6"/>
  <c r="B87" i="6"/>
  <c r="D97" i="6" s="1"/>
  <c r="B83" i="6"/>
  <c r="B80" i="6"/>
  <c r="B79" i="6"/>
  <c r="C76" i="6"/>
  <c r="H71" i="6"/>
  <c r="G71" i="6"/>
  <c r="B68" i="6"/>
  <c r="H67" i="6"/>
  <c r="G67" i="6"/>
  <c r="G63" i="6"/>
  <c r="H63" i="6" s="1"/>
  <c r="C56" i="6"/>
  <c r="B55" i="6"/>
  <c r="B45" i="6"/>
  <c r="D48" i="6" s="1"/>
  <c r="F44" i="6"/>
  <c r="F42" i="6"/>
  <c r="D42" i="6"/>
  <c r="I39" i="6" s="1"/>
  <c r="G41" i="6"/>
  <c r="E41" i="6"/>
  <c r="B34" i="6"/>
  <c r="D44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D45" i="6" l="1"/>
  <c r="E39" i="6" s="1"/>
  <c r="F45" i="6"/>
  <c r="D98" i="6"/>
  <c r="D99" i="6" s="1"/>
  <c r="D49" i="6"/>
  <c r="D102" i="6"/>
  <c r="G93" i="6"/>
  <c r="E92" i="6"/>
  <c r="E91" i="6"/>
  <c r="E93" i="6"/>
  <c r="G92" i="6"/>
  <c r="G91" i="6"/>
  <c r="G40" i="6"/>
  <c r="F46" i="6"/>
  <c r="G38" i="6"/>
  <c r="G39" i="6"/>
  <c r="C46" i="2"/>
  <c r="D41" i="2" s="1"/>
  <c r="C45" i="2"/>
  <c r="C19" i="2"/>
  <c r="D46" i="6" l="1"/>
  <c r="E38" i="6"/>
  <c r="D52" i="6" s="1"/>
  <c r="E40" i="6"/>
  <c r="D26" i="2"/>
  <c r="D25" i="2"/>
  <c r="D34" i="2"/>
  <c r="D35" i="2"/>
  <c r="D39" i="2"/>
  <c r="C50" i="2"/>
  <c r="B57" i="6"/>
  <c r="B69" i="6" s="1"/>
  <c r="G95" i="6"/>
  <c r="D27" i="2"/>
  <c r="D30" i="2"/>
  <c r="D31" i="2"/>
  <c r="G42" i="6"/>
  <c r="D50" i="6"/>
  <c r="E95" i="6"/>
  <c r="D105" i="6"/>
  <c r="D103" i="6"/>
  <c r="D29" i="2"/>
  <c r="D33" i="2"/>
  <c r="D37" i="2"/>
  <c r="D24" i="2"/>
  <c r="D28" i="2"/>
  <c r="D32" i="2"/>
  <c r="D36" i="2"/>
  <c r="D43" i="2"/>
  <c r="D38" i="2"/>
  <c r="D40" i="2"/>
  <c r="D42" i="2"/>
  <c r="B49" i="2"/>
  <c r="D49" i="2"/>
  <c r="D50" i="2"/>
  <c r="C49" i="2"/>
  <c r="E42" i="6" l="1"/>
  <c r="G66" i="6"/>
  <c r="H66" i="6" s="1"/>
  <c r="G64" i="6"/>
  <c r="H64" i="6" s="1"/>
  <c r="G65" i="6"/>
  <c r="H65" i="6" s="1"/>
  <c r="G69" i="6"/>
  <c r="H69" i="6" s="1"/>
  <c r="G62" i="6"/>
  <c r="H62" i="6" s="1"/>
  <c r="G60" i="6"/>
  <c r="G68" i="6"/>
  <c r="H68" i="6" s="1"/>
  <c r="D51" i="6"/>
  <c r="G70" i="6"/>
  <c r="H70" i="6" s="1"/>
  <c r="G61" i="6"/>
  <c r="H61" i="6" s="1"/>
  <c r="E113" i="6"/>
  <c r="F113" i="6" s="1"/>
  <c r="E112" i="6"/>
  <c r="F112" i="6" s="1"/>
  <c r="E111" i="6"/>
  <c r="F111" i="6" s="1"/>
  <c r="E110" i="6"/>
  <c r="F110" i="6" s="1"/>
  <c r="E109" i="6"/>
  <c r="F109" i="6" s="1"/>
  <c r="E108" i="6"/>
  <c r="D104" i="6"/>
  <c r="E115" i="6" l="1"/>
  <c r="E116" i="6" s="1"/>
  <c r="E117" i="6"/>
  <c r="F108" i="6"/>
  <c r="G74" i="6"/>
  <c r="H60" i="6"/>
  <c r="G72" i="6"/>
  <c r="G73" i="6" s="1"/>
  <c r="H74" i="6" l="1"/>
  <c r="H72" i="6"/>
  <c r="F117" i="6"/>
  <c r="F115" i="6"/>
  <c r="G120" i="6" l="1"/>
  <c r="F116" i="6"/>
  <c r="G76" i="6"/>
  <c r="H73" i="6"/>
</calcChain>
</file>

<file path=xl/sharedStrings.xml><?xml version="1.0" encoding="utf-8"?>
<sst xmlns="http://schemas.openxmlformats.org/spreadsheetml/2006/main" count="233" uniqueCount="132">
  <si>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</si>
  <si>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</si>
  <si>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</si>
  <si>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</si>
  <si>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</si>
  <si>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</si>
  <si>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</si>
  <si>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</si>
  <si>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</si>
  <si>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</si>
  <si>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</si>
  <si>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</si>
  <si>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</si>
  <si>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</si>
  <si>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</si>
  <si>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</si>
  <si>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</si>
  <si>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</si>
  <si>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</si>
  <si>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</si>
  <si>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</si>
  <si>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</si>
  <si>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</si>
  <si>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</si>
  <si>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</si>
  <si>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</si>
  <si>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NEVIRAPINE 200MG TABLETS USP</t>
  </si>
  <si>
    <t>Laboratory Ref No:</t>
  </si>
  <si>
    <t>NDQD201606994</t>
  </si>
  <si>
    <t>Active Ingredient:</t>
  </si>
  <si>
    <t>Nevirapine USP</t>
  </si>
  <si>
    <t>Label Claim:</t>
  </si>
  <si>
    <t xml:space="preserve">Each Tablet contins Nevirapine USP 200mg </t>
  </si>
  <si>
    <t>Date Analysis Started:</t>
  </si>
  <si>
    <t>2016-06-08 14:20:20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</si>
  <si>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</si>
  <si>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</si>
  <si>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</si>
  <si>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</si>
  <si>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</si>
  <si>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</si>
  <si>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</si>
  <si>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</si>
  <si>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</si>
  <si>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</si>
  <si>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 xml:space="preserve">NEVIRAPINE TABLETS USP 200MG </t>
  </si>
  <si>
    <t>Each tablet contains: 200 mg of Nevirapine USP.</t>
  </si>
  <si>
    <t>Nevirapine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</si>
  <si>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</si>
  <si>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</si>
  <si>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</si>
  <si>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</si>
  <si>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</si>
  <si>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</si>
  <si>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</si>
  <si>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</si>
  <si>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</si>
  <si>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</si>
  <si>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</si>
  <si>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</si>
  <si>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</si>
  <si>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</si>
  <si>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</si>
  <si>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</si>
  <si>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</si>
  <si>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</si>
  <si>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</si>
  <si>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</si>
  <si>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</si>
  <si>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</si>
  <si>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</si>
  <si>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</si>
  <si>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</si>
  <si>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</si>
  <si>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</si>
  <si>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</si>
  <si>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</si>
  <si>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</si>
  <si>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</si>
  <si>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</si>
  <si>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</si>
  <si>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</si>
  <si>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</si>
  <si>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</si>
  <si>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</si>
  <si>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</si>
  <si>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</si>
  <si>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</si>
  <si>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</si>
  <si>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</si>
  <si>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</si>
  <si>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</si>
  <si>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</si>
  <si>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</si>
  <si>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</si>
  <si>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</si>
  <si>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</si>
  <si>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</si>
  <si>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</si>
  <si>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</si>
  <si>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</si>
  <si>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</si>
  <si>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</si>
  <si>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</si>
  <si>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</si>
  <si>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</si>
  <si>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</si>
  <si>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</si>
  <si>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NDQB201605994</t>
  </si>
  <si>
    <t>2016-06-09 11:05:09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</si>
  <si>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</si>
  <si>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</si>
  <si>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</si>
  <si>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</si>
  <si>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</si>
  <si>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</si>
  <si>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</si>
  <si>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</si>
  <si>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</si>
  <si>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</si>
  <si>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</si>
  <si>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</si>
  <si>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</si>
  <si>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</si>
  <si>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</si>
  <si>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</si>
  <si>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</si>
  <si>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</si>
  <si>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</si>
  <si>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</si>
  <si>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Nevirapine  </t>
  </si>
  <si>
    <t>N1-4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</si>
</sst>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9" fillId="2" borderId="0"/>
    <xf numFmtId="0" fontId="9" fillId="2" borderId="0"/>
    <xf numFmtId="0" fontId="9" fillId="2" borderId="0"/>
    <xf numFmtId="0" fontId="9" fillId="2" borderId="0"/>
  </cellStyleXfs>
  <cellXfs count="3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3" fillId="2" borderId="0" xfId="3" applyFont="1" applyFill="1"/>
    <xf numFmtId="0" fontId="3" fillId="2" borderId="0" xfId="3" applyFont="1" applyFill="1" applyAlignment="1">
      <alignment horizontal="left"/>
    </xf>
    <xf numFmtId="0" fontId="4" fillId="2" borderId="0" xfId="3" applyFont="1" applyFill="1" applyAlignment="1">
      <alignment horizontal="left"/>
    </xf>
    <xf numFmtId="0" fontId="4" fillId="2" borderId="0" xfId="3" applyFont="1" applyFill="1" applyAlignment="1">
      <alignment horizontal="center"/>
    </xf>
    <xf numFmtId="0" fontId="5" fillId="2" borderId="0" xfId="3" applyFont="1" applyFill="1"/>
    <xf numFmtId="0" fontId="4" fillId="2" borderId="0" xfId="3" applyFont="1" applyFill="1"/>
    <xf numFmtId="2" fontId="4" fillId="2" borderId="0" xfId="3" applyNumberFormat="1" applyFont="1" applyFill="1" applyAlignment="1">
      <alignment horizontal="center"/>
    </xf>
    <xf numFmtId="164" fontId="4" fillId="2" borderId="0" xfId="3" applyNumberFormat="1" applyFont="1" applyFill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12" fillId="3" borderId="3" xfId="3" applyFont="1" applyFill="1" applyBorder="1" applyAlignment="1" applyProtection="1">
      <alignment horizontal="center"/>
      <protection locked="0"/>
    </xf>
    <xf numFmtId="2" fontId="12" fillId="3" borderId="3" xfId="3" applyNumberFormat="1" applyFont="1" applyFill="1" applyBorder="1" applyAlignment="1" applyProtection="1">
      <alignment horizontal="center"/>
      <protection locked="0"/>
    </xf>
    <xf numFmtId="2" fontId="12" fillId="3" borderId="4" xfId="3" applyNumberFormat="1" applyFont="1" applyFill="1" applyBorder="1" applyAlignment="1" applyProtection="1">
      <alignment horizontal="center"/>
      <protection locked="0"/>
    </xf>
    <xf numFmtId="0" fontId="12" fillId="3" borderId="5" xfId="3" applyFont="1" applyFill="1" applyBorder="1" applyAlignment="1" applyProtection="1">
      <alignment horizontal="center"/>
      <protection locked="0"/>
    </xf>
    <xf numFmtId="2" fontId="12" fillId="3" borderId="5" xfId="3" applyNumberFormat="1" applyFont="1" applyFill="1" applyBorder="1" applyAlignment="1" applyProtection="1">
      <alignment horizontal="center"/>
      <protection locked="0"/>
    </xf>
    <xf numFmtId="0" fontId="5" fillId="2" borderId="4" xfId="3" applyFont="1" applyFill="1" applyBorder="1"/>
    <xf numFmtId="1" fontId="4" fillId="4" borderId="2" xfId="3" applyNumberFormat="1" applyFont="1" applyFill="1" applyBorder="1" applyAlignment="1">
      <alignment horizontal="center"/>
    </xf>
    <xf numFmtId="1" fontId="4" fillId="4" borderId="1" xfId="3" applyNumberFormat="1" applyFont="1" applyFill="1" applyBorder="1" applyAlignment="1">
      <alignment horizontal="center"/>
    </xf>
    <xf numFmtId="2" fontId="4" fillId="4" borderId="1" xfId="3" applyNumberFormat="1" applyFont="1" applyFill="1" applyBorder="1" applyAlignment="1">
      <alignment horizontal="center"/>
    </xf>
    <xf numFmtId="0" fontId="5" fillId="2" borderId="3" xfId="3" applyFont="1" applyFill="1" applyBorder="1"/>
    <xf numFmtId="10" fontId="4" fillId="5" borderId="1" xfId="3" applyNumberFormat="1" applyFont="1" applyFill="1" applyBorder="1" applyAlignment="1">
      <alignment horizontal="center"/>
    </xf>
    <xf numFmtId="165" fontId="4" fillId="2" borderId="0" xfId="3" applyNumberFormat="1" applyFont="1" applyFill="1" applyAlignment="1">
      <alignment horizontal="center"/>
    </xf>
    <xf numFmtId="0" fontId="5" fillId="2" borderId="6" xfId="3" applyFont="1" applyFill="1" applyBorder="1"/>
    <xf numFmtId="0" fontId="5" fillId="2" borderId="5" xfId="3" applyFont="1" applyFill="1" applyBorder="1"/>
    <xf numFmtId="0" fontId="4" fillId="4" borderId="1" xfId="3" applyFont="1" applyFill="1" applyBorder="1" applyAlignment="1">
      <alignment horizontal="center"/>
    </xf>
    <xf numFmtId="0" fontId="4" fillId="2" borderId="7" xfId="3" applyFont="1" applyFill="1" applyBorder="1" applyAlignment="1">
      <alignment horizontal="center"/>
    </xf>
    <xf numFmtId="0" fontId="5" fillId="2" borderId="7" xfId="3" applyFont="1" applyFill="1" applyBorder="1"/>
    <xf numFmtId="0" fontId="5" fillId="2" borderId="8" xfId="3" applyFont="1" applyFill="1" applyBorder="1"/>
    <xf numFmtId="0" fontId="5" fillId="2" borderId="0" xfId="3" applyFont="1" applyFill="1" applyAlignment="1" applyProtection="1">
      <alignment horizontal="left"/>
      <protection locked="0"/>
    </xf>
    <xf numFmtId="0" fontId="5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9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2" fillId="2" borderId="0" xfId="4" applyFont="1" applyFill="1"/>
    <xf numFmtId="0" fontId="15" fillId="2" borderId="0" xfId="4" applyFont="1" applyFill="1"/>
    <xf numFmtId="0" fontId="9" fillId="2" borderId="0" xfId="4" applyFill="1"/>
    <xf numFmtId="0" fontId="18" fillId="2" borderId="0" xfId="4" applyFont="1" applyFill="1"/>
    <xf numFmtId="0" fontId="19" fillId="2" borderId="0" xfId="4" applyFont="1" applyFill="1" applyAlignment="1" applyProtection="1">
      <alignment horizontal="right"/>
      <protection locked="0"/>
    </xf>
    <xf numFmtId="0" fontId="19" fillId="2" borderId="0" xfId="4" applyFont="1" applyFill="1" applyAlignment="1" applyProtection="1">
      <alignment horizontal="left"/>
      <protection locked="0"/>
    </xf>
    <xf numFmtId="0" fontId="20" fillId="2" borderId="0" xfId="4" applyFont="1" applyFill="1"/>
    <xf numFmtId="0" fontId="20" fillId="3" borderId="0" xfId="4" applyFont="1" applyFill="1" applyAlignment="1" applyProtection="1">
      <alignment horizontal="left"/>
      <protection locked="0"/>
    </xf>
    <xf numFmtId="0" fontId="15" fillId="3" borderId="0" xfId="4" applyFont="1" applyFill="1" applyProtection="1">
      <protection locked="0"/>
    </xf>
    <xf numFmtId="168" fontId="20" fillId="3" borderId="0" xfId="4" applyNumberFormat="1" applyFont="1" applyFill="1" applyAlignment="1" applyProtection="1">
      <alignment horizontal="center"/>
      <protection locked="0"/>
    </xf>
    <xf numFmtId="169" fontId="15" fillId="2" borderId="0" xfId="4" applyNumberFormat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8" fillId="2" borderId="0" xfId="4" applyFont="1" applyFill="1" applyAlignment="1">
      <alignment horizontal="right"/>
    </xf>
    <xf numFmtId="0" fontId="15" fillId="2" borderId="0" xfId="4" applyFont="1" applyFill="1" applyAlignment="1">
      <alignment horizontal="right"/>
    </xf>
    <xf numFmtId="0" fontId="19" fillId="3" borderId="0" xfId="4" applyFont="1" applyFill="1" applyAlignment="1" applyProtection="1">
      <alignment horizontal="center"/>
      <protection locked="0"/>
    </xf>
    <xf numFmtId="0" fontId="20" fillId="3" borderId="0" xfId="4" applyFont="1" applyFill="1" applyAlignment="1" applyProtection="1">
      <alignment horizontal="center"/>
      <protection locked="0"/>
    </xf>
    <xf numFmtId="0" fontId="4" fillId="2" borderId="1" xfId="4" applyFont="1" applyFill="1" applyBorder="1" applyAlignment="1">
      <alignment horizontal="center"/>
    </xf>
    <xf numFmtId="0" fontId="21" fillId="2" borderId="0" xfId="4" applyFont="1" applyFill="1" applyAlignment="1">
      <alignment vertical="center" wrapText="1"/>
    </xf>
    <xf numFmtId="0" fontId="18" fillId="2" borderId="0" xfId="4" applyFont="1" applyFill="1" applyAlignment="1">
      <alignment horizontal="center"/>
    </xf>
    <xf numFmtId="0" fontId="22" fillId="2" borderId="0" xfId="4" applyFont="1" applyFill="1"/>
    <xf numFmtId="0" fontId="23" fillId="2" borderId="0" xfId="4" applyFont="1" applyFill="1"/>
    <xf numFmtId="2" fontId="19" fillId="3" borderId="0" xfId="4" applyNumberFormat="1" applyFont="1" applyFill="1" applyAlignment="1" applyProtection="1">
      <alignment horizontal="center"/>
      <protection locked="0"/>
    </xf>
    <xf numFmtId="0" fontId="18" fillId="2" borderId="0" xfId="4" applyFont="1" applyFill="1" applyAlignment="1">
      <alignment vertical="center" wrapText="1"/>
    </xf>
    <xf numFmtId="0" fontId="24" fillId="2" borderId="0" xfId="4" applyFont="1" applyFill="1"/>
    <xf numFmtId="2" fontId="18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18" fillId="2" borderId="0" xfId="4" applyNumberFormat="1" applyFont="1" applyFill="1" applyAlignment="1">
      <alignment horizontal="center"/>
    </xf>
    <xf numFmtId="0" fontId="15" fillId="2" borderId="21" xfId="4" applyFont="1" applyFill="1" applyBorder="1" applyAlignment="1">
      <alignment horizontal="right"/>
    </xf>
    <xf numFmtId="0" fontId="19" fillId="3" borderId="22" xfId="4" applyFont="1" applyFill="1" applyBorder="1" applyAlignment="1" applyProtection="1">
      <alignment horizontal="center"/>
      <protection locked="0"/>
    </xf>
    <xf numFmtId="0" fontId="15" fillId="2" borderId="26" xfId="4" applyFont="1" applyFill="1" applyBorder="1" applyAlignment="1">
      <alignment horizontal="right"/>
    </xf>
    <xf numFmtId="0" fontId="19" fillId="3" borderId="27" xfId="4" applyFont="1" applyFill="1" applyBorder="1" applyAlignment="1" applyProtection="1">
      <alignment horizontal="center"/>
      <protection locked="0"/>
    </xf>
    <xf numFmtId="0" fontId="18" fillId="2" borderId="22" xfId="4" applyFont="1" applyFill="1" applyBorder="1" applyAlignment="1">
      <alignment horizontal="center"/>
    </xf>
    <xf numFmtId="0" fontId="18" fillId="2" borderId="28" xfId="4" applyFont="1" applyFill="1" applyBorder="1" applyAlignment="1">
      <alignment horizontal="center"/>
    </xf>
    <xf numFmtId="0" fontId="18" fillId="2" borderId="29" xfId="4" applyFont="1" applyFill="1" applyBorder="1" applyAlignment="1">
      <alignment horizontal="center"/>
    </xf>
    <xf numFmtId="0" fontId="18" fillId="2" borderId="30" xfId="4" applyFont="1" applyFill="1" applyBorder="1" applyAlignment="1">
      <alignment horizontal="center"/>
    </xf>
    <xf numFmtId="0" fontId="18" fillId="2" borderId="12" xfId="4" applyFont="1" applyFill="1" applyBorder="1" applyAlignment="1">
      <alignment horizontal="center"/>
    </xf>
    <xf numFmtId="0" fontId="15" fillId="2" borderId="31" xfId="4" applyFont="1" applyFill="1" applyBorder="1" applyAlignment="1">
      <alignment horizontal="center"/>
    </xf>
    <xf numFmtId="0" fontId="10" fillId="3" borderId="32" xfId="4" applyFont="1" applyFill="1" applyBorder="1" applyAlignment="1" applyProtection="1">
      <alignment horizontal="center"/>
      <protection locked="0"/>
    </xf>
    <xf numFmtId="171" fontId="15" fillId="2" borderId="29" xfId="4" applyNumberFormat="1" applyFont="1" applyFill="1" applyBorder="1" applyAlignment="1">
      <alignment horizontal="center"/>
    </xf>
    <xf numFmtId="171" fontId="15" fillId="2" borderId="33" xfId="4" applyNumberFormat="1" applyFont="1" applyFill="1" applyBorder="1" applyAlignment="1">
      <alignment horizontal="center"/>
    </xf>
    <xf numFmtId="0" fontId="24" fillId="2" borderId="13" xfId="4" applyFont="1" applyFill="1" applyBorder="1"/>
    <xf numFmtId="0" fontId="15" fillId="2" borderId="27" xfId="4" applyFont="1" applyFill="1" applyBorder="1" applyAlignment="1">
      <alignment horizontal="center"/>
    </xf>
    <xf numFmtId="0" fontId="10" fillId="3" borderId="26" xfId="4" applyFont="1" applyFill="1" applyBorder="1" applyAlignment="1" applyProtection="1">
      <alignment horizontal="center"/>
      <protection locked="0"/>
    </xf>
    <xf numFmtId="171" fontId="15" fillId="2" borderId="34" xfId="4" applyNumberFormat="1" applyFont="1" applyFill="1" applyBorder="1" applyAlignment="1">
      <alignment horizontal="center"/>
    </xf>
    <xf numFmtId="171" fontId="15" fillId="2" borderId="35" xfId="4" applyNumberFormat="1" applyFont="1" applyFill="1" applyBorder="1" applyAlignment="1">
      <alignment horizontal="center"/>
    </xf>
    <xf numFmtId="0" fontId="15" fillId="2" borderId="36" xfId="4" applyFont="1" applyFill="1" applyBorder="1" applyAlignment="1">
      <alignment horizontal="center"/>
    </xf>
    <xf numFmtId="0" fontId="19" fillId="3" borderId="37" xfId="4" applyFont="1" applyFill="1" applyBorder="1" applyAlignment="1" applyProtection="1">
      <alignment horizontal="center"/>
      <protection locked="0"/>
    </xf>
    <xf numFmtId="171" fontId="15" fillId="2" borderId="38" xfId="4" applyNumberFormat="1" applyFont="1" applyFill="1" applyBorder="1" applyAlignment="1">
      <alignment horizontal="center"/>
    </xf>
    <xf numFmtId="171" fontId="15" fillId="2" borderId="39" xfId="4" applyNumberFormat="1" applyFont="1" applyFill="1" applyBorder="1" applyAlignment="1">
      <alignment horizontal="center"/>
    </xf>
    <xf numFmtId="0" fontId="15" fillId="2" borderId="15" xfId="4" applyFont="1" applyFill="1" applyBorder="1"/>
    <xf numFmtId="0" fontId="15" fillId="2" borderId="27" xfId="4" applyFont="1" applyFill="1" applyBorder="1" applyAlignment="1">
      <alignment horizontal="right"/>
    </xf>
    <xf numFmtId="1" fontId="18" fillId="6" borderId="40" xfId="4" applyNumberFormat="1" applyFont="1" applyFill="1" applyBorder="1" applyAlignment="1">
      <alignment horizontal="center"/>
    </xf>
    <xf numFmtId="171" fontId="18" fillId="6" borderId="41" xfId="4" applyNumberFormat="1" applyFont="1" applyFill="1" applyBorder="1" applyAlignment="1">
      <alignment horizontal="center"/>
    </xf>
    <xf numFmtId="171" fontId="18" fillId="6" borderId="42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5" fillId="2" borderId="24" xfId="4" applyFont="1" applyFill="1" applyBorder="1" applyAlignment="1">
      <alignment horizontal="right"/>
    </xf>
    <xf numFmtId="0" fontId="19" fillId="3" borderId="16" xfId="4" applyFont="1" applyFill="1" applyBorder="1" applyAlignment="1" applyProtection="1">
      <alignment horizontal="center"/>
      <protection locked="0"/>
    </xf>
    <xf numFmtId="0" fontId="15" fillId="2" borderId="11" xfId="4" applyFont="1" applyFill="1" applyBorder="1" applyAlignment="1">
      <alignment horizontal="right"/>
    </xf>
    <xf numFmtId="2" fontId="15" fillId="6" borderId="43" xfId="4" applyNumberFormat="1" applyFont="1" applyFill="1" applyBorder="1" applyAlignment="1">
      <alignment horizontal="center"/>
    </xf>
    <xf numFmtId="0" fontId="15" fillId="2" borderId="0" xfId="4" applyFont="1" applyFill="1" applyAlignment="1">
      <alignment horizontal="center"/>
    </xf>
    <xf numFmtId="2" fontId="15" fillId="7" borderId="43" xfId="4" applyNumberFormat="1" applyFont="1" applyFill="1" applyBorder="1" applyAlignment="1">
      <alignment horizontal="center"/>
    </xf>
    <xf numFmtId="2" fontId="15" fillId="2" borderId="0" xfId="4" applyNumberFormat="1" applyFont="1" applyFill="1" applyAlignment="1">
      <alignment horizontal="center"/>
    </xf>
    <xf numFmtId="166" fontId="15" fillId="6" borderId="43" xfId="4" applyNumberFormat="1" applyFont="1" applyFill="1" applyBorder="1" applyAlignment="1">
      <alignment horizontal="center"/>
    </xf>
    <xf numFmtId="166" fontId="15" fillId="2" borderId="0" xfId="4" applyNumberFormat="1" applyFont="1" applyFill="1" applyAlignment="1">
      <alignment horizontal="center"/>
    </xf>
    <xf numFmtId="166" fontId="15" fillId="6" borderId="17" xfId="4" applyNumberFormat="1" applyFont="1" applyFill="1" applyBorder="1" applyAlignment="1">
      <alignment horizontal="center"/>
    </xf>
    <xf numFmtId="0" fontId="15" fillId="2" borderId="46" xfId="4" applyFont="1" applyFill="1" applyBorder="1" applyAlignment="1">
      <alignment horizontal="right"/>
    </xf>
    <xf numFmtId="166" fontId="19" fillId="3" borderId="43" xfId="4" applyNumberFormat="1" applyFont="1" applyFill="1" applyBorder="1" applyAlignment="1" applyProtection="1">
      <alignment horizontal="center"/>
      <protection locked="0"/>
    </xf>
    <xf numFmtId="166" fontId="15" fillId="2" borderId="0" xfId="4" applyNumberFormat="1" applyFont="1" applyFill="1"/>
    <xf numFmtId="0" fontId="15" fillId="2" borderId="32" xfId="4" applyFont="1" applyFill="1" applyBorder="1" applyAlignment="1">
      <alignment horizontal="right"/>
    </xf>
    <xf numFmtId="1" fontId="15" fillId="2" borderId="0" xfId="4" applyNumberFormat="1" applyFont="1" applyFill="1" applyAlignment="1">
      <alignment horizontal="center"/>
    </xf>
    <xf numFmtId="0" fontId="15" fillId="2" borderId="15" xfId="4" applyFont="1" applyFill="1" applyBorder="1" applyAlignment="1">
      <alignment horizontal="right"/>
    </xf>
    <xf numFmtId="2" fontId="15" fillId="6" borderId="15" xfId="4" applyNumberFormat="1" applyFont="1" applyFill="1" applyBorder="1" applyAlignment="1">
      <alignment horizontal="center"/>
    </xf>
    <xf numFmtId="171" fontId="18" fillId="7" borderId="13" xfId="4" applyNumberFormat="1" applyFont="1" applyFill="1" applyBorder="1" applyAlignment="1">
      <alignment horizontal="center"/>
    </xf>
    <xf numFmtId="171" fontId="15" fillId="2" borderId="0" xfId="4" applyNumberFormat="1" applyFont="1" applyFill="1" applyAlignment="1">
      <alignment horizontal="center"/>
    </xf>
    <xf numFmtId="10" fontId="15" fillId="6" borderId="43" xfId="4" applyNumberFormat="1" applyFont="1" applyFill="1" applyBorder="1" applyAlignment="1">
      <alignment horizontal="center"/>
    </xf>
    <xf numFmtId="0" fontId="15" fillId="2" borderId="44" xfId="4" applyFont="1" applyFill="1" applyBorder="1" applyAlignment="1">
      <alignment horizontal="right"/>
    </xf>
    <xf numFmtId="0" fontId="15" fillId="7" borderId="15" xfId="4" applyFont="1" applyFill="1" applyBorder="1" applyAlignment="1">
      <alignment horizontal="center"/>
    </xf>
    <xf numFmtId="0" fontId="11" fillId="2" borderId="0" xfId="4" applyFont="1" applyFill="1"/>
    <xf numFmtId="0" fontId="18" fillId="2" borderId="0" xfId="4" applyFont="1" applyFill="1" applyAlignment="1">
      <alignment horizontal="left"/>
    </xf>
    <xf numFmtId="0" fontId="15" fillId="2" borderId="0" xfId="4" applyFont="1" applyFill="1" applyAlignment="1">
      <alignment horizontal="left"/>
    </xf>
    <xf numFmtId="172" fontId="19" fillId="3" borderId="0" xfId="4" applyNumberFormat="1" applyFont="1" applyFill="1" applyAlignment="1" applyProtection="1">
      <alignment horizontal="center"/>
      <protection locked="0"/>
    </xf>
    <xf numFmtId="166" fontId="18" fillId="2" borderId="0" xfId="4" applyNumberFormat="1" applyFont="1" applyFill="1" applyAlignment="1" applyProtection="1">
      <alignment horizontal="center"/>
      <protection locked="0"/>
    </xf>
    <xf numFmtId="2" fontId="18" fillId="2" borderId="13" xfId="4" applyNumberFormat="1" applyFont="1" applyFill="1" applyBorder="1" applyAlignment="1">
      <alignment horizontal="center"/>
    </xf>
    <xf numFmtId="0" fontId="18" fillId="2" borderId="13" xfId="4" applyFont="1" applyFill="1" applyBorder="1" applyAlignment="1">
      <alignment horizontal="center"/>
    </xf>
    <xf numFmtId="0" fontId="15" fillId="2" borderId="13" xfId="4" applyFont="1" applyFill="1" applyBorder="1" applyAlignment="1">
      <alignment horizontal="center"/>
    </xf>
    <xf numFmtId="0" fontId="19" fillId="3" borderId="21" xfId="4" applyFont="1" applyFill="1" applyBorder="1" applyAlignment="1" applyProtection="1">
      <alignment horizontal="center"/>
      <protection locked="0"/>
    </xf>
    <xf numFmtId="166" fontId="15" fillId="2" borderId="21" xfId="4" applyNumberFormat="1" applyFont="1" applyFill="1" applyBorder="1" applyAlignment="1">
      <alignment horizontal="center"/>
    </xf>
    <xf numFmtId="10" fontId="15" fillId="2" borderId="13" xfId="4" applyNumberFormat="1" applyFont="1" applyFill="1" applyBorder="1" applyAlignment="1">
      <alignment horizontal="center" vertical="center"/>
    </xf>
    <xf numFmtId="0" fontId="15" fillId="2" borderId="14" xfId="4" applyFont="1" applyFill="1" applyBorder="1" applyAlignment="1">
      <alignment horizontal="center"/>
    </xf>
    <xf numFmtId="0" fontId="19" fillId="3" borderId="26" xfId="4" applyFont="1" applyFill="1" applyBorder="1" applyAlignment="1" applyProtection="1">
      <alignment horizontal="center"/>
      <protection locked="0"/>
    </xf>
    <xf numFmtId="166" fontId="15" fillId="2" borderId="26" xfId="4" applyNumberFormat="1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1" fontId="19" fillId="3" borderId="26" xfId="4" applyNumberFormat="1" applyFont="1" applyFill="1" applyBorder="1" applyAlignment="1" applyProtection="1">
      <alignment horizontal="center"/>
      <protection locked="0"/>
    </xf>
    <xf numFmtId="0" fontId="15" fillId="2" borderId="15" xfId="4" applyFont="1" applyFill="1" applyBorder="1" applyAlignment="1">
      <alignment horizontal="center"/>
    </xf>
    <xf numFmtId="0" fontId="19" fillId="3" borderId="44" xfId="4" applyFont="1" applyFill="1" applyBorder="1" applyAlignment="1" applyProtection="1">
      <alignment horizontal="center"/>
      <protection locked="0"/>
    </xf>
    <xf numFmtId="166" fontId="15" fillId="2" borderId="13" xfId="4" applyNumberFormat="1" applyFont="1" applyFill="1" applyBorder="1" applyAlignment="1">
      <alignment horizontal="center"/>
    </xf>
    <xf numFmtId="10" fontId="15" fillId="2" borderId="22" xfId="4" applyNumberFormat="1" applyFont="1" applyFill="1" applyBorder="1" applyAlignment="1">
      <alignment horizontal="center" vertical="center"/>
    </xf>
    <xf numFmtId="166" fontId="15" fillId="2" borderId="14" xfId="4" applyNumberFormat="1" applyFont="1" applyFill="1" applyBorder="1" applyAlignment="1">
      <alignment horizontal="center"/>
    </xf>
    <xf numFmtId="10" fontId="15" fillId="2" borderId="27" xfId="4" applyNumberFormat="1" applyFont="1" applyFill="1" applyBorder="1" applyAlignment="1">
      <alignment horizontal="center" vertical="center"/>
    </xf>
    <xf numFmtId="166" fontId="15" fillId="2" borderId="15" xfId="4" applyNumberFormat="1" applyFont="1" applyFill="1" applyBorder="1" applyAlignment="1">
      <alignment horizontal="center"/>
    </xf>
    <xf numFmtId="10" fontId="15" fillId="2" borderId="45" xfId="4" applyNumberFormat="1" applyFont="1" applyFill="1" applyBorder="1" applyAlignment="1">
      <alignment horizontal="center" vertical="center"/>
    </xf>
    <xf numFmtId="0" fontId="20" fillId="2" borderId="27" xfId="4" applyFont="1" applyFill="1" applyBorder="1" applyAlignment="1">
      <alignment horizontal="center"/>
    </xf>
    <xf numFmtId="2" fontId="20" fillId="2" borderId="45" xfId="4" applyNumberFormat="1" applyFont="1" applyFill="1" applyBorder="1" applyAlignment="1">
      <alignment horizontal="center"/>
    </xf>
    <xf numFmtId="10" fontId="15" fillId="2" borderId="15" xfId="4" applyNumberFormat="1" applyFont="1" applyFill="1" applyBorder="1" applyAlignment="1">
      <alignment horizontal="center" vertical="center"/>
    </xf>
    <xf numFmtId="0" fontId="15" fillId="2" borderId="47" xfId="4" applyFont="1" applyFill="1" applyBorder="1" applyAlignment="1">
      <alignment horizontal="right"/>
    </xf>
    <xf numFmtId="2" fontId="19" fillId="7" borderId="36" xfId="4" applyNumberFormat="1" applyFont="1" applyFill="1" applyBorder="1" applyAlignment="1">
      <alignment horizontal="center"/>
    </xf>
    <xf numFmtId="10" fontId="19" fillId="7" borderId="36" xfId="4" applyNumberFormat="1" applyFont="1" applyFill="1" applyBorder="1" applyAlignment="1">
      <alignment horizontal="center"/>
    </xf>
    <xf numFmtId="0" fontId="15" fillId="2" borderId="43" xfId="4" applyFont="1" applyFill="1" applyBorder="1" applyAlignment="1">
      <alignment horizontal="right"/>
    </xf>
    <xf numFmtId="10" fontId="19" fillId="6" borderId="48" xfId="4" applyNumberFormat="1" applyFont="1" applyFill="1" applyBorder="1" applyAlignment="1">
      <alignment horizontal="center"/>
    </xf>
    <xf numFmtId="0" fontId="15" fillId="2" borderId="17" xfId="4" applyFont="1" applyFill="1" applyBorder="1" applyAlignment="1">
      <alignment horizontal="right"/>
    </xf>
    <xf numFmtId="0" fontId="19" fillId="7" borderId="49" xfId="4" applyFont="1" applyFill="1" applyBorder="1" applyAlignment="1">
      <alignment horizontal="center"/>
    </xf>
    <xf numFmtId="165" fontId="19" fillId="2" borderId="0" xfId="4" applyNumberFormat="1" applyFont="1" applyFill="1" applyAlignment="1">
      <alignment horizontal="center"/>
    </xf>
    <xf numFmtId="0" fontId="18" fillId="2" borderId="23" xfId="4" applyFont="1" applyFill="1" applyBorder="1" applyAlignment="1">
      <alignment horizontal="center"/>
    </xf>
    <xf numFmtId="0" fontId="18" fillId="2" borderId="24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8" fillId="2" borderId="33" xfId="4" applyFont="1" applyFill="1" applyBorder="1" applyAlignment="1">
      <alignment horizontal="center"/>
    </xf>
    <xf numFmtId="0" fontId="15" fillId="2" borderId="50" xfId="4" applyFont="1" applyFill="1" applyBorder="1" applyAlignment="1">
      <alignment horizontal="center"/>
    </xf>
    <xf numFmtId="0" fontId="15" fillId="2" borderId="7" xfId="4" applyFont="1" applyFill="1" applyBorder="1" applyAlignment="1">
      <alignment horizontal="center"/>
    </xf>
    <xf numFmtId="171" fontId="19" fillId="3" borderId="37" xfId="4" applyNumberFormat="1" applyFont="1" applyFill="1" applyBorder="1" applyAlignment="1" applyProtection="1">
      <alignment horizontal="center"/>
      <protection locked="0"/>
    </xf>
    <xf numFmtId="1" fontId="18" fillId="6" borderId="51" xfId="4" applyNumberFormat="1" applyFont="1" applyFill="1" applyBorder="1" applyAlignment="1">
      <alignment horizontal="center"/>
    </xf>
    <xf numFmtId="1" fontId="18" fillId="6" borderId="52" xfId="4" applyNumberFormat="1" applyFont="1" applyFill="1" applyBorder="1" applyAlignment="1">
      <alignment horizontal="center"/>
    </xf>
    <xf numFmtId="171" fontId="18" fillId="6" borderId="15" xfId="4" applyNumberFormat="1" applyFont="1" applyFill="1" applyBorder="1" applyAlignment="1">
      <alignment horizontal="center"/>
    </xf>
    <xf numFmtId="0" fontId="15" fillId="2" borderId="53" xfId="4" applyFont="1" applyFill="1" applyBorder="1" applyAlignment="1">
      <alignment horizontal="right"/>
    </xf>
    <xf numFmtId="0" fontId="19" fillId="3" borderId="54" xfId="4" applyFont="1" applyFill="1" applyBorder="1" applyAlignment="1" applyProtection="1">
      <alignment horizontal="center"/>
      <protection locked="0"/>
    </xf>
    <xf numFmtId="0" fontId="15" fillId="2" borderId="28" xfId="4" applyFont="1" applyFill="1" applyBorder="1" applyAlignment="1">
      <alignment horizontal="right"/>
    </xf>
    <xf numFmtId="2" fontId="15" fillId="6" borderId="30" xfId="4" applyNumberFormat="1" applyFont="1" applyFill="1" applyBorder="1" applyAlignment="1">
      <alignment horizontal="center"/>
    </xf>
    <xf numFmtId="2" fontId="15" fillId="7" borderId="30" xfId="4" applyNumberFormat="1" applyFont="1" applyFill="1" applyBorder="1" applyAlignment="1">
      <alignment horizontal="center"/>
    </xf>
    <xf numFmtId="166" fontId="15" fillId="6" borderId="30" xfId="4" applyNumberFormat="1" applyFont="1" applyFill="1" applyBorder="1" applyAlignment="1">
      <alignment horizontal="center"/>
    </xf>
    <xf numFmtId="166" fontId="15" fillId="7" borderId="30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5" fillId="2" borderId="55" xfId="4" applyFont="1" applyFill="1" applyBorder="1" applyAlignment="1">
      <alignment horizontal="right"/>
    </xf>
    <xf numFmtId="2" fontId="15" fillId="7" borderId="33" xfId="4" applyNumberFormat="1" applyFont="1" applyFill="1" applyBorder="1" applyAlignment="1">
      <alignment horizontal="center"/>
    </xf>
    <xf numFmtId="0" fontId="18" fillId="2" borderId="0" xfId="4" applyFont="1" applyFill="1" applyAlignment="1">
      <alignment horizontal="center" wrapText="1"/>
    </xf>
    <xf numFmtId="0" fontId="15" fillId="2" borderId="16" xfId="4" applyFont="1" applyFill="1" applyBorder="1" applyAlignment="1">
      <alignment horizontal="right"/>
    </xf>
    <xf numFmtId="171" fontId="18" fillId="7" borderId="16" xfId="4" applyNumberFormat="1" applyFont="1" applyFill="1" applyBorder="1" applyAlignment="1">
      <alignment horizontal="center"/>
    </xf>
    <xf numFmtId="10" fontId="15" fillId="2" borderId="0" xfId="4" applyNumberFormat="1" applyFont="1" applyFill="1" applyAlignment="1">
      <alignment horizontal="center"/>
    </xf>
    <xf numFmtId="10" fontId="18" fillId="6" borderId="43" xfId="4" applyNumberFormat="1" applyFont="1" applyFill="1" applyBorder="1" applyAlignment="1">
      <alignment horizontal="center"/>
    </xf>
    <xf numFmtId="0" fontId="18" fillId="7" borderId="17" xfId="4" applyFont="1" applyFill="1" applyBorder="1" applyAlignment="1">
      <alignment horizontal="center"/>
    </xf>
    <xf numFmtId="0" fontId="18" fillId="2" borderId="56" xfId="4" applyFont="1" applyFill="1" applyBorder="1" applyAlignment="1">
      <alignment horizontal="center"/>
    </xf>
    <xf numFmtId="0" fontId="18" fillId="2" borderId="57" xfId="4" applyFont="1" applyFill="1" applyBorder="1" applyAlignment="1">
      <alignment horizontal="center"/>
    </xf>
    <xf numFmtId="0" fontId="18" fillId="2" borderId="22" xfId="4" applyFont="1" applyFill="1" applyBorder="1" applyAlignment="1">
      <alignment horizontal="center" wrapText="1"/>
    </xf>
    <xf numFmtId="0" fontId="15" fillId="2" borderId="26" xfId="4" applyFont="1" applyFill="1" applyBorder="1" applyAlignment="1">
      <alignment horizontal="center"/>
    </xf>
    <xf numFmtId="1" fontId="19" fillId="3" borderId="34" xfId="4" applyNumberFormat="1" applyFont="1" applyFill="1" applyBorder="1" applyAlignment="1" applyProtection="1">
      <alignment horizontal="center"/>
      <protection locked="0"/>
    </xf>
    <xf numFmtId="166" fontId="15" fillId="2" borderId="29" xfId="4" applyNumberFormat="1" applyFont="1" applyFill="1" applyBorder="1" applyAlignment="1">
      <alignment horizontal="center"/>
    </xf>
    <xf numFmtId="10" fontId="15" fillId="2" borderId="33" xfId="4" applyNumberFormat="1" applyFont="1" applyFill="1" applyBorder="1" applyAlignment="1">
      <alignment horizontal="center"/>
    </xf>
    <xf numFmtId="166" fontId="15" fillId="2" borderId="34" xfId="4" applyNumberFormat="1" applyFont="1" applyFill="1" applyBorder="1" applyAlignment="1">
      <alignment horizontal="center"/>
    </xf>
    <xf numFmtId="10" fontId="15" fillId="2" borderId="35" xfId="4" applyNumberFormat="1" applyFont="1" applyFill="1" applyBorder="1" applyAlignment="1">
      <alignment horizontal="center"/>
    </xf>
    <xf numFmtId="0" fontId="15" fillId="2" borderId="37" xfId="4" applyFont="1" applyFill="1" applyBorder="1" applyAlignment="1">
      <alignment horizontal="center"/>
    </xf>
    <xf numFmtId="1" fontId="19" fillId="3" borderId="38" xfId="4" applyNumberFormat="1" applyFont="1" applyFill="1" applyBorder="1" applyAlignment="1" applyProtection="1">
      <alignment horizontal="center"/>
      <protection locked="0"/>
    </xf>
    <xf numFmtId="166" fontId="15" fillId="2" borderId="38" xfId="4" applyNumberFormat="1" applyFont="1" applyFill="1" applyBorder="1" applyAlignment="1">
      <alignment horizontal="center"/>
    </xf>
    <xf numFmtId="10" fontId="15" fillId="2" borderId="39" xfId="4" applyNumberFormat="1" applyFont="1" applyFill="1" applyBorder="1" applyAlignment="1">
      <alignment horizontal="center"/>
    </xf>
    <xf numFmtId="2" fontId="15" fillId="2" borderId="27" xfId="4" applyNumberFormat="1" applyFont="1" applyFill="1" applyBorder="1" applyAlignment="1">
      <alignment horizontal="center"/>
    </xf>
    <xf numFmtId="171" fontId="15" fillId="2" borderId="2" xfId="4" applyNumberFormat="1" applyFont="1" applyFill="1" applyBorder="1" applyAlignment="1">
      <alignment horizontal="right"/>
    </xf>
    <xf numFmtId="2" fontId="19" fillId="7" borderId="30" xfId="4" applyNumberFormat="1" applyFont="1" applyFill="1" applyBorder="1" applyAlignment="1">
      <alignment horizontal="center"/>
    </xf>
    <xf numFmtId="10" fontId="19" fillId="7" borderId="30" xfId="4" applyNumberFormat="1" applyFont="1" applyFill="1" applyBorder="1" applyAlignment="1">
      <alignment horizontal="center"/>
    </xf>
    <xf numFmtId="0" fontId="15" fillId="2" borderId="26" xfId="4" applyFont="1" applyFill="1" applyBorder="1"/>
    <xf numFmtId="10" fontId="19" fillId="6" borderId="30" xfId="4" applyNumberFormat="1" applyFont="1" applyFill="1" applyBorder="1" applyAlignment="1">
      <alignment horizontal="center"/>
    </xf>
    <xf numFmtId="0" fontId="15" fillId="2" borderId="44" xfId="4" applyFont="1" applyFill="1" applyBorder="1"/>
    <xf numFmtId="0" fontId="15" fillId="2" borderId="58" xfId="4" applyFont="1" applyFill="1" applyBorder="1" applyAlignment="1">
      <alignment horizontal="right"/>
    </xf>
    <xf numFmtId="0" fontId="19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5" fillId="2" borderId="9" xfId="4" applyFont="1" applyFill="1" applyBorder="1"/>
    <xf numFmtId="0" fontId="15" fillId="2" borderId="10" xfId="4" applyFont="1" applyFill="1" applyBorder="1" applyAlignment="1">
      <alignment horizontal="center"/>
    </xf>
    <xf numFmtId="0" fontId="15" fillId="2" borderId="7" xfId="4" applyFont="1" applyFill="1" applyBorder="1"/>
    <xf numFmtId="0" fontId="18" fillId="2" borderId="11" xfId="4" applyFont="1" applyFill="1" applyBorder="1"/>
    <xf numFmtId="0" fontId="15" fillId="2" borderId="11" xfId="4" applyFont="1" applyFill="1" applyBorder="1"/>
    <xf numFmtId="10" fontId="21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10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5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/>
    </xf>
    <xf numFmtId="0" fontId="18" fillId="2" borderId="10" xfId="4" applyFont="1" applyFill="1" applyBorder="1" applyAlignment="1">
      <alignment horizontal="center"/>
    </xf>
    <xf numFmtId="0" fontId="18" fillId="2" borderId="23" xfId="4" applyFont="1" applyFill="1" applyBorder="1" applyAlignment="1">
      <alignment horizontal="center"/>
    </xf>
    <xf numFmtId="0" fontId="18" fillId="2" borderId="25" xfId="4" applyFont="1" applyFill="1" applyBorder="1" applyAlignment="1">
      <alignment horizontal="center"/>
    </xf>
    <xf numFmtId="0" fontId="18" fillId="2" borderId="10" xfId="4" applyFont="1" applyFill="1" applyBorder="1" applyAlignment="1">
      <alignment horizontal="center" vertical="center"/>
    </xf>
    <xf numFmtId="0" fontId="18" fillId="2" borderId="0" xfId="4" applyFont="1" applyFill="1" applyAlignment="1">
      <alignment horizontal="center" vertical="center"/>
    </xf>
    <xf numFmtId="0" fontId="18" fillId="2" borderId="9" xfId="4" applyFont="1" applyFill="1" applyBorder="1" applyAlignment="1">
      <alignment horizontal="center" vertical="center"/>
    </xf>
    <xf numFmtId="2" fontId="19" fillId="3" borderId="13" xfId="4" applyNumberFormat="1" applyFont="1" applyFill="1" applyBorder="1" applyAlignment="1" applyProtection="1">
      <alignment horizontal="center" vertical="center"/>
      <protection locked="0"/>
    </xf>
    <xf numFmtId="2" fontId="19" fillId="3" borderId="14" xfId="4" applyNumberFormat="1" applyFont="1" applyFill="1" applyBorder="1" applyAlignment="1" applyProtection="1">
      <alignment horizontal="center" vertical="center"/>
      <protection locked="0"/>
    </xf>
    <xf numFmtId="2" fontId="19" fillId="3" borderId="15" xfId="4" applyNumberFormat="1" applyFont="1" applyFill="1" applyBorder="1" applyAlignment="1" applyProtection="1">
      <alignment horizontal="center" vertical="center"/>
      <protection locked="0"/>
    </xf>
    <xf numFmtId="0" fontId="18" fillId="2" borderId="44" xfId="4" applyFont="1" applyFill="1" applyBorder="1" applyAlignment="1">
      <alignment horizontal="center" vertical="center"/>
    </xf>
    <xf numFmtId="0" fontId="19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16" fillId="2" borderId="45" xfId="4" applyFont="1" applyFill="1" applyBorder="1" applyAlignment="1">
      <alignment horizontal="center" vertical="center" wrapText="1"/>
    </xf>
    <xf numFmtId="0" fontId="18" fillId="2" borderId="24" xfId="4" applyFont="1" applyFill="1" applyBorder="1" applyAlignment="1">
      <alignment horizontal="center"/>
    </xf>
    <xf numFmtId="0" fontId="13" fillId="2" borderId="0" xfId="4" applyFont="1" applyFill="1" applyAlignment="1">
      <alignment horizontal="center" vertical="center"/>
    </xf>
    <xf numFmtId="0" fontId="14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9" fillId="3" borderId="0" xfId="4" applyFont="1" applyFill="1" applyAlignment="1" applyProtection="1">
      <alignment horizontal="left" wrapText="1"/>
      <protection locked="0"/>
    </xf>
    <xf numFmtId="0" fontId="20" fillId="3" borderId="0" xfId="4" applyFont="1" applyFill="1" applyAlignment="1" applyProtection="1">
      <alignment horizontal="left" wrapText="1"/>
      <protection locked="0"/>
    </xf>
    <xf numFmtId="0" fontId="20" fillId="3" borderId="0" xfId="4" applyFont="1" applyFill="1" applyAlignment="1" applyProtection="1">
      <alignment horizontal="left"/>
      <protection locked="0"/>
    </xf>
    <xf numFmtId="0" fontId="11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" fillId="2" borderId="0" xfId="3" applyFont="1" applyFill="1" applyAlignment="1">
      <alignment horizont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8" zoomScale="60" zoomScaleNormal="80" zoomScalePageLayoutView="35" workbookViewId="0">
      <selection activeCell="H113" sqref="H113"/>
    </sheetView>
  </sheetViews>
  <sheetFormatPr defaultColWidth="9.109375" defaultRowHeight="13.8" x14ac:dyDescent="0.3"/>
  <cols>
    <col min="1" max="1" width="55.44140625" style="92" customWidth="1"/>
    <col min="2" max="2" width="33.6640625" style="92" customWidth="1"/>
    <col min="3" max="3" width="42.33203125" style="92" customWidth="1"/>
    <col min="4" max="4" width="30.5546875" style="92" customWidth="1"/>
    <col min="5" max="5" width="39.88671875" style="92" customWidth="1"/>
    <col min="6" max="6" width="30.6640625" style="92" customWidth="1"/>
    <col min="7" max="7" width="39.88671875" style="92" customWidth="1"/>
    <col min="8" max="8" width="30" style="92" customWidth="1"/>
    <col min="9" max="9" width="30.33203125" style="92" hidden="1" customWidth="1"/>
    <col min="10" max="10" width="30.44140625" style="92" customWidth="1"/>
    <col min="11" max="11" width="21.33203125" style="92" customWidth="1"/>
    <col min="12" max="12" width="9.109375" style="92"/>
    <col min="13" max="16384" width="9.109375" style="94"/>
  </cols>
  <sheetData>
    <row r="1" spans="1:9" ht="18.75" customHeight="1" x14ac:dyDescent="0.3">
      <c r="A1" s="289" t="s">
        <v>42</v>
      </c>
      <c r="B1" s="289"/>
      <c r="C1" s="289"/>
      <c r="D1" s="289"/>
      <c r="E1" s="289"/>
      <c r="F1" s="289"/>
      <c r="G1" s="289"/>
      <c r="H1" s="289"/>
      <c r="I1" s="289"/>
    </row>
    <row r="2" spans="1:9" ht="18.75" customHeight="1" x14ac:dyDescent="0.3">
      <c r="A2" s="289"/>
      <c r="B2" s="289"/>
      <c r="C2" s="289"/>
      <c r="D2" s="289"/>
      <c r="E2" s="289"/>
      <c r="F2" s="289"/>
      <c r="G2" s="289"/>
      <c r="H2" s="289"/>
      <c r="I2" s="289"/>
    </row>
    <row r="3" spans="1:9" ht="18.75" customHeight="1" x14ac:dyDescent="0.3">
      <c r="A3" s="289"/>
      <c r="B3" s="289"/>
      <c r="C3" s="289"/>
      <c r="D3" s="289"/>
      <c r="E3" s="289"/>
      <c r="F3" s="289"/>
      <c r="G3" s="289"/>
      <c r="H3" s="289"/>
      <c r="I3" s="289"/>
    </row>
    <row r="4" spans="1:9" ht="18.75" customHeight="1" x14ac:dyDescent="0.3">
      <c r="A4" s="289"/>
      <c r="B4" s="289"/>
      <c r="C4" s="289"/>
      <c r="D4" s="289"/>
      <c r="E4" s="289"/>
      <c r="F4" s="289"/>
      <c r="G4" s="289"/>
      <c r="H4" s="289"/>
      <c r="I4" s="289"/>
    </row>
    <row r="5" spans="1:9" ht="18.75" customHeight="1" x14ac:dyDescent="0.3">
      <c r="A5" s="289"/>
      <c r="B5" s="289"/>
      <c r="C5" s="289"/>
      <c r="D5" s="289"/>
      <c r="E5" s="289"/>
      <c r="F5" s="289"/>
      <c r="G5" s="289"/>
      <c r="H5" s="289"/>
      <c r="I5" s="289"/>
    </row>
    <row r="6" spans="1:9" ht="18.75" customHeight="1" x14ac:dyDescent="0.3">
      <c r="A6" s="289"/>
      <c r="B6" s="289"/>
      <c r="C6" s="289"/>
      <c r="D6" s="289"/>
      <c r="E6" s="289"/>
      <c r="F6" s="289"/>
      <c r="G6" s="289"/>
      <c r="H6" s="289"/>
      <c r="I6" s="289"/>
    </row>
    <row r="7" spans="1:9" ht="18.75" customHeight="1" x14ac:dyDescent="0.3">
      <c r="A7" s="289"/>
      <c r="B7" s="289"/>
      <c r="C7" s="289"/>
      <c r="D7" s="289"/>
      <c r="E7" s="289"/>
      <c r="F7" s="289"/>
      <c r="G7" s="289"/>
      <c r="H7" s="289"/>
      <c r="I7" s="289"/>
    </row>
    <row r="8" spans="1:9" x14ac:dyDescent="0.3">
      <c r="A8" s="290" t="s">
        <v>43</v>
      </c>
      <c r="B8" s="290"/>
      <c r="C8" s="290"/>
      <c r="D8" s="290"/>
      <c r="E8" s="290"/>
      <c r="F8" s="290"/>
      <c r="G8" s="290"/>
      <c r="H8" s="290"/>
      <c r="I8" s="290"/>
    </row>
    <row r="9" spans="1:9" x14ac:dyDescent="0.3">
      <c r="A9" s="290"/>
      <c r="B9" s="290"/>
      <c r="C9" s="290"/>
      <c r="D9" s="290"/>
      <c r="E9" s="290"/>
      <c r="F9" s="290"/>
      <c r="G9" s="290"/>
      <c r="H9" s="290"/>
      <c r="I9" s="290"/>
    </row>
    <row r="10" spans="1:9" x14ac:dyDescent="0.3">
      <c r="A10" s="290"/>
      <c r="B10" s="290"/>
      <c r="C10" s="290"/>
      <c r="D10" s="290"/>
      <c r="E10" s="290"/>
      <c r="F10" s="290"/>
      <c r="G10" s="290"/>
      <c r="H10" s="290"/>
      <c r="I10" s="290"/>
    </row>
    <row r="11" spans="1:9" x14ac:dyDescent="0.3">
      <c r="A11" s="290"/>
      <c r="B11" s="290"/>
      <c r="C11" s="290"/>
      <c r="D11" s="290"/>
      <c r="E11" s="290"/>
      <c r="F11" s="290"/>
      <c r="G11" s="290"/>
      <c r="H11" s="290"/>
      <c r="I11" s="290"/>
    </row>
    <row r="12" spans="1:9" x14ac:dyDescent="0.3">
      <c r="A12" s="290"/>
      <c r="B12" s="290"/>
      <c r="C12" s="290"/>
      <c r="D12" s="290"/>
      <c r="E12" s="290"/>
      <c r="F12" s="290"/>
      <c r="G12" s="290"/>
      <c r="H12" s="290"/>
      <c r="I12" s="290"/>
    </row>
    <row r="13" spans="1:9" x14ac:dyDescent="0.3">
      <c r="A13" s="290"/>
      <c r="B13" s="290"/>
      <c r="C13" s="290"/>
      <c r="D13" s="290"/>
      <c r="E13" s="290"/>
      <c r="F13" s="290"/>
      <c r="G13" s="290"/>
      <c r="H13" s="290"/>
      <c r="I13" s="290"/>
    </row>
    <row r="14" spans="1:9" x14ac:dyDescent="0.3">
      <c r="A14" s="290"/>
      <c r="B14" s="290"/>
      <c r="C14" s="290"/>
      <c r="D14" s="290"/>
      <c r="E14" s="290"/>
      <c r="F14" s="290"/>
      <c r="G14" s="290"/>
      <c r="H14" s="290"/>
      <c r="I14" s="290"/>
    </row>
    <row r="15" spans="1:9" ht="19.5" customHeight="1" thickBot="1" x14ac:dyDescent="0.4">
      <c r="A15" s="93"/>
    </row>
    <row r="16" spans="1:9" ht="19.5" customHeight="1" thickBot="1" x14ac:dyDescent="0.4">
      <c r="A16" s="291" t="s">
        <v>23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3">
      <c r="A17" s="294" t="s">
        <v>44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5">
      <c r="A18" s="95" t="s">
        <v>25</v>
      </c>
      <c r="B18" s="295" t="s">
        <v>45</v>
      </c>
      <c r="C18" s="295"/>
      <c r="D18" s="96"/>
      <c r="E18" s="97"/>
      <c r="F18" s="98"/>
      <c r="G18" s="98"/>
      <c r="H18" s="98"/>
    </row>
    <row r="19" spans="1:14" ht="26.25" customHeight="1" x14ac:dyDescent="0.5">
      <c r="A19" s="95" t="s">
        <v>27</v>
      </c>
      <c r="B19" s="99" t="s">
        <v>108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5">
      <c r="A20" s="95" t="s">
        <v>29</v>
      </c>
      <c r="B20" s="296" t="s">
        <v>30</v>
      </c>
      <c r="C20" s="296"/>
      <c r="D20" s="98"/>
      <c r="E20" s="98"/>
      <c r="F20" s="98"/>
      <c r="G20" s="98"/>
      <c r="H20" s="98"/>
    </row>
    <row r="21" spans="1:14" ht="26.25" customHeight="1" x14ac:dyDescent="0.5">
      <c r="A21" s="95" t="s">
        <v>31</v>
      </c>
      <c r="B21" s="296" t="s">
        <v>46</v>
      </c>
      <c r="C21" s="296"/>
      <c r="D21" s="296"/>
      <c r="E21" s="296"/>
      <c r="F21" s="296"/>
      <c r="G21" s="296"/>
      <c r="H21" s="296"/>
      <c r="I21" s="100"/>
    </row>
    <row r="22" spans="1:14" ht="26.25" customHeight="1" x14ac:dyDescent="0.5">
      <c r="A22" s="95" t="s">
        <v>33</v>
      </c>
      <c r="B22" s="101">
        <v>42529.317129629628</v>
      </c>
      <c r="C22" s="98"/>
      <c r="D22" s="98"/>
      <c r="E22" s="98"/>
      <c r="F22" s="98"/>
      <c r="G22" s="98"/>
      <c r="H22" s="98"/>
    </row>
    <row r="23" spans="1:14" ht="26.25" customHeight="1" x14ac:dyDescent="0.5">
      <c r="A23" s="95" t="s">
        <v>35</v>
      </c>
      <c r="B23" s="101">
        <v>42534</v>
      </c>
      <c r="C23" s="98"/>
      <c r="D23" s="98"/>
      <c r="E23" s="98"/>
      <c r="F23" s="98"/>
      <c r="G23" s="98"/>
      <c r="H23" s="98"/>
    </row>
    <row r="24" spans="1:14" ht="18" x14ac:dyDescent="0.35">
      <c r="A24" s="95"/>
      <c r="B24" s="102"/>
    </row>
    <row r="25" spans="1:14" ht="18" x14ac:dyDescent="0.35">
      <c r="A25" s="103" t="s">
        <v>1</v>
      </c>
      <c r="B25" s="102"/>
    </row>
    <row r="26" spans="1:14" ht="26.25" customHeight="1" x14ac:dyDescent="0.45">
      <c r="A26" s="104" t="s">
        <v>4</v>
      </c>
      <c r="B26" s="295" t="s">
        <v>47</v>
      </c>
      <c r="C26" s="295"/>
    </row>
    <row r="27" spans="1:14" ht="26.25" customHeight="1" x14ac:dyDescent="0.5">
      <c r="A27" s="105" t="s">
        <v>48</v>
      </c>
      <c r="B27" s="297" t="s">
        <v>131</v>
      </c>
      <c r="C27" s="297"/>
    </row>
    <row r="28" spans="1:14" ht="27" customHeight="1" thickBot="1" x14ac:dyDescent="0.5">
      <c r="A28" s="105" t="s">
        <v>5</v>
      </c>
      <c r="B28" s="106">
        <v>98.8</v>
      </c>
    </row>
    <row r="29" spans="1:14" s="108" customFormat="1" ht="27" customHeight="1" thickBot="1" x14ac:dyDescent="0.55000000000000004">
      <c r="A29" s="105" t="s">
        <v>49</v>
      </c>
      <c r="B29" s="107"/>
      <c r="C29" s="278" t="s">
        <v>50</v>
      </c>
      <c r="D29" s="279"/>
      <c r="E29" s="279"/>
      <c r="F29" s="279"/>
      <c r="G29" s="280"/>
      <c r="I29" s="109"/>
      <c r="J29" s="109"/>
      <c r="K29" s="109"/>
      <c r="L29" s="109"/>
    </row>
    <row r="30" spans="1:14" s="108" customFormat="1" ht="19.5" customHeight="1" thickBot="1" x14ac:dyDescent="0.4">
      <c r="A30" s="105" t="s">
        <v>51</v>
      </c>
      <c r="B30" s="110">
        <f>B28-B29</f>
        <v>98.8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5">
      <c r="A31" s="105" t="s">
        <v>52</v>
      </c>
      <c r="B31" s="113">
        <v>1</v>
      </c>
      <c r="C31" s="281" t="s">
        <v>53</v>
      </c>
      <c r="D31" s="282"/>
      <c r="E31" s="282"/>
      <c r="F31" s="282"/>
      <c r="G31" s="282"/>
      <c r="H31" s="283"/>
      <c r="I31" s="109"/>
      <c r="J31" s="109"/>
      <c r="K31" s="109"/>
      <c r="L31" s="109"/>
    </row>
    <row r="32" spans="1:14" s="108" customFormat="1" ht="27" customHeight="1" thickBot="1" x14ac:dyDescent="0.5">
      <c r="A32" s="105" t="s">
        <v>54</v>
      </c>
      <c r="B32" s="113">
        <v>1</v>
      </c>
      <c r="C32" s="281" t="s">
        <v>55</v>
      </c>
      <c r="D32" s="282"/>
      <c r="E32" s="282"/>
      <c r="F32" s="282"/>
      <c r="G32" s="282"/>
      <c r="H32" s="283"/>
      <c r="I32" s="109"/>
      <c r="J32" s="109"/>
      <c r="K32" s="109"/>
      <c r="L32" s="114"/>
      <c r="M32" s="114"/>
      <c r="N32" s="115"/>
    </row>
    <row r="33" spans="1:14" s="108" customFormat="1" ht="17.25" customHeight="1" x14ac:dyDescent="0.35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" x14ac:dyDescent="0.35">
      <c r="A34" s="105" t="s">
        <v>56</v>
      </c>
      <c r="B34" s="118">
        <f>B31/B32</f>
        <v>1</v>
      </c>
      <c r="C34" s="93" t="s">
        <v>57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4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5">
      <c r="A36" s="119" t="s">
        <v>58</v>
      </c>
      <c r="B36" s="120">
        <v>20</v>
      </c>
      <c r="C36" s="93"/>
      <c r="D36" s="268" t="s">
        <v>59</v>
      </c>
      <c r="E36" s="288"/>
      <c r="F36" s="268" t="s">
        <v>60</v>
      </c>
      <c r="G36" s="269"/>
      <c r="J36" s="109"/>
      <c r="K36" s="109"/>
      <c r="L36" s="114"/>
      <c r="M36" s="114"/>
      <c r="N36" s="115"/>
    </row>
    <row r="37" spans="1:14" s="108" customFormat="1" ht="27" customHeight="1" thickBot="1" x14ac:dyDescent="0.5">
      <c r="A37" s="121" t="s">
        <v>113</v>
      </c>
      <c r="B37" s="122">
        <v>3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08" customFormat="1" ht="26.25" customHeight="1" x14ac:dyDescent="0.45">
      <c r="A38" s="121" t="s">
        <v>114</v>
      </c>
      <c r="B38" s="122">
        <v>100</v>
      </c>
      <c r="C38" s="128">
        <v>1</v>
      </c>
      <c r="D38" s="129">
        <v>313428750</v>
      </c>
      <c r="E38" s="130">
        <f>IF(ISBLANK(D38),"-",$D$48/$D$45*D38)</f>
        <v>292760776.04565984</v>
      </c>
      <c r="F38" s="129">
        <v>409550643</v>
      </c>
      <c r="G38" s="131">
        <f>IF(ISBLANK(F38),"-",$D$48/$F$45*F38)</f>
        <v>285132028.00088894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5">
      <c r="A39" s="121" t="s">
        <v>115</v>
      </c>
      <c r="B39" s="122">
        <v>1</v>
      </c>
      <c r="C39" s="133">
        <v>2</v>
      </c>
      <c r="D39" s="134">
        <v>308801333</v>
      </c>
      <c r="E39" s="135">
        <f>IF(ISBLANK(D39),"-",$D$48/$D$45*D39)</f>
        <v>288438498.0414663</v>
      </c>
      <c r="F39" s="134">
        <v>409200065</v>
      </c>
      <c r="G39" s="136">
        <f>IF(ISBLANK(F39),"-",$D$48/$F$45*F39)</f>
        <v>284887953.14025569</v>
      </c>
      <c r="I39" s="259">
        <f>ABS((F43/D43*D42)-F42)/D42</f>
        <v>2.177131695731236E-2</v>
      </c>
      <c r="J39" s="109"/>
      <c r="K39" s="109"/>
      <c r="L39" s="114"/>
      <c r="M39" s="114"/>
      <c r="N39" s="115"/>
    </row>
    <row r="40" spans="1:14" ht="26.25" customHeight="1" x14ac:dyDescent="0.45">
      <c r="A40" s="121" t="s">
        <v>116</v>
      </c>
      <c r="B40" s="122">
        <v>1</v>
      </c>
      <c r="C40" s="133">
        <v>3</v>
      </c>
      <c r="D40" s="134">
        <v>308670062</v>
      </c>
      <c r="E40" s="135">
        <f>IF(ISBLANK(D40),"-",$D$48/$D$45*D40)</f>
        <v>288315883.25315386</v>
      </c>
      <c r="F40" s="134">
        <v>409914292</v>
      </c>
      <c r="G40" s="136">
        <f>IF(ISBLANK(F40),"-",$D$48/$F$45*F40)</f>
        <v>285385202.98333061</v>
      </c>
      <c r="I40" s="259"/>
      <c r="L40" s="114"/>
      <c r="M40" s="114"/>
      <c r="N40" s="93"/>
    </row>
    <row r="41" spans="1:14" ht="27" customHeight="1" thickBot="1" x14ac:dyDescent="0.5">
      <c r="A41" s="121" t="s">
        <v>117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5">
      <c r="A42" s="121" t="s">
        <v>118</v>
      </c>
      <c r="B42" s="122">
        <v>1</v>
      </c>
      <c r="C42" s="142" t="s">
        <v>65</v>
      </c>
      <c r="D42" s="143">
        <f>AVERAGE(D38:D41)</f>
        <v>310300048.33333331</v>
      </c>
      <c r="E42" s="144">
        <f>AVERAGE(E38:E41)</f>
        <v>289838385.78009337</v>
      </c>
      <c r="F42" s="143">
        <f>AVERAGE(F38:F41)</f>
        <v>409555000</v>
      </c>
      <c r="G42" s="145">
        <f>AVERAGE(G38:G41)</f>
        <v>285135061.37482506</v>
      </c>
      <c r="H42" s="146"/>
    </row>
    <row r="43" spans="1:14" ht="26.25" customHeight="1" x14ac:dyDescent="0.45">
      <c r="A43" s="121" t="s">
        <v>119</v>
      </c>
      <c r="B43" s="122">
        <v>1</v>
      </c>
      <c r="C43" s="147" t="s">
        <v>66</v>
      </c>
      <c r="D43" s="148">
        <v>18.059999999999999</v>
      </c>
      <c r="E43" s="93"/>
      <c r="F43" s="148">
        <v>24.23</v>
      </c>
      <c r="H43" s="146"/>
    </row>
    <row r="44" spans="1:14" ht="26.25" customHeight="1" x14ac:dyDescent="0.45">
      <c r="A44" s="121" t="s">
        <v>120</v>
      </c>
      <c r="B44" s="122">
        <v>1</v>
      </c>
      <c r="C44" s="149" t="s">
        <v>67</v>
      </c>
      <c r="D44" s="150">
        <f>D43*$B$34</f>
        <v>18.059999999999999</v>
      </c>
      <c r="E44" s="151"/>
      <c r="F44" s="150">
        <f>F43*$B$34</f>
        <v>24.23</v>
      </c>
      <c r="H44" s="146"/>
    </row>
    <row r="45" spans="1:14" ht="19.5" customHeight="1" thickBot="1" x14ac:dyDescent="0.4">
      <c r="A45" s="121" t="s">
        <v>68</v>
      </c>
      <c r="B45" s="133">
        <f>(B44/B43)*(B42/B41)*(B40/B39)*(B38/B37)*B36</f>
        <v>666.66666666666674</v>
      </c>
      <c r="C45" s="149" t="s">
        <v>69</v>
      </c>
      <c r="D45" s="152">
        <f>D44*$B$30/100</f>
        <v>17.843279999999996</v>
      </c>
      <c r="E45" s="153"/>
      <c r="F45" s="152">
        <f>F44*$B$30/100</f>
        <v>23.939239999999998</v>
      </c>
      <c r="H45" s="146"/>
    </row>
    <row r="46" spans="1:14" ht="19.5" customHeight="1" thickBot="1" x14ac:dyDescent="0.4">
      <c r="A46" s="260" t="s">
        <v>70</v>
      </c>
      <c r="B46" s="264"/>
      <c r="C46" s="149" t="s">
        <v>71</v>
      </c>
      <c r="D46" s="154">
        <f>D45/$B$45</f>
        <v>2.6764919999999991E-2</v>
      </c>
      <c r="E46" s="155"/>
      <c r="F46" s="156">
        <f>F45/$B$45</f>
        <v>3.5908859999999994E-2</v>
      </c>
      <c r="H46" s="146"/>
    </row>
    <row r="47" spans="1:14" ht="27" customHeight="1" thickBot="1" x14ac:dyDescent="0.5">
      <c r="A47" s="262"/>
      <c r="B47" s="265"/>
      <c r="C47" s="157" t="s">
        <v>72</v>
      </c>
      <c r="D47" s="158">
        <v>2.5000000000000001E-2</v>
      </c>
      <c r="E47" s="159"/>
      <c r="F47" s="155"/>
      <c r="H47" s="146"/>
    </row>
    <row r="48" spans="1:14" ht="18" x14ac:dyDescent="0.35">
      <c r="C48" s="160" t="s">
        <v>73</v>
      </c>
      <c r="D48" s="152">
        <f>D47*$B$45</f>
        <v>16.666666666666668</v>
      </c>
      <c r="F48" s="161"/>
      <c r="H48" s="146"/>
    </row>
    <row r="49" spans="1:12" ht="19.5" customHeight="1" thickBot="1" x14ac:dyDescent="0.4">
      <c r="C49" s="162" t="s">
        <v>74</v>
      </c>
      <c r="D49" s="163">
        <f>D48/B34</f>
        <v>16.666666666666668</v>
      </c>
      <c r="F49" s="161"/>
      <c r="H49" s="146"/>
    </row>
    <row r="50" spans="1:12" ht="18" x14ac:dyDescent="0.35">
      <c r="C50" s="119" t="s">
        <v>75</v>
      </c>
      <c r="D50" s="164">
        <f>AVERAGE(E38:E41,G38:G41)</f>
        <v>287486723.57745916</v>
      </c>
      <c r="F50" s="165"/>
      <c r="H50" s="146"/>
    </row>
    <row r="51" spans="1:12" ht="18" x14ac:dyDescent="0.35">
      <c r="C51" s="121" t="s">
        <v>76</v>
      </c>
      <c r="D51" s="166">
        <f>STDEV(E38:E41,G38:G41)/D50</f>
        <v>1.0564739482008806E-2</v>
      </c>
      <c r="F51" s="165"/>
      <c r="H51" s="146"/>
    </row>
    <row r="52" spans="1:12" ht="19.5" customHeight="1" thickBot="1" x14ac:dyDescent="0.4">
      <c r="C52" s="167" t="s">
        <v>15</v>
      </c>
      <c r="D52" s="168">
        <f>COUNT(E38:E41,G38:G41)</f>
        <v>6</v>
      </c>
      <c r="F52" s="165"/>
    </row>
    <row r="54" spans="1:12" ht="18" x14ac:dyDescent="0.35">
      <c r="A54" s="169" t="s">
        <v>1</v>
      </c>
      <c r="B54" s="170" t="s">
        <v>77</v>
      </c>
    </row>
    <row r="55" spans="1:12" ht="18" x14ac:dyDescent="0.35">
      <c r="A55" s="93" t="s">
        <v>78</v>
      </c>
      <c r="B55" s="171" t="str">
        <f>B21</f>
        <v>Each tablet contains: 200 mg of Nevirapine USP.</v>
      </c>
    </row>
    <row r="56" spans="1:12" ht="26.25" customHeight="1" x14ac:dyDescent="0.45">
      <c r="A56" s="171" t="s">
        <v>79</v>
      </c>
      <c r="B56" s="172">
        <v>200</v>
      </c>
      <c r="C56" s="93" t="str">
        <f>B20</f>
        <v>Nevirapine USP</v>
      </c>
      <c r="H56" s="151"/>
    </row>
    <row r="57" spans="1:12" ht="18" x14ac:dyDescent="0.35">
      <c r="A57" s="171" t="s">
        <v>80</v>
      </c>
      <c r="B57" s="173">
        <f>Uniformity!C46</f>
        <v>362.36900000000003</v>
      </c>
      <c r="H57" s="151"/>
    </row>
    <row r="58" spans="1:12" ht="19.5" customHeight="1" thickBot="1" x14ac:dyDescent="0.4">
      <c r="H58" s="151"/>
    </row>
    <row r="59" spans="1:12" s="108" customFormat="1" ht="27" customHeight="1" thickBot="1" x14ac:dyDescent="0.5">
      <c r="A59" s="119" t="s">
        <v>81</v>
      </c>
      <c r="B59" s="120">
        <v>250</v>
      </c>
      <c r="C59" s="93"/>
      <c r="D59" s="174" t="s">
        <v>82</v>
      </c>
      <c r="E59" s="175" t="s">
        <v>61</v>
      </c>
      <c r="F59" s="175" t="s">
        <v>62</v>
      </c>
      <c r="G59" s="175" t="s">
        <v>83</v>
      </c>
      <c r="H59" s="123" t="s">
        <v>84</v>
      </c>
      <c r="L59" s="109"/>
    </row>
    <row r="60" spans="1:12" s="108" customFormat="1" ht="26.25" customHeight="1" x14ac:dyDescent="0.45">
      <c r="A60" s="121" t="s">
        <v>121</v>
      </c>
      <c r="B60" s="122">
        <v>3</v>
      </c>
      <c r="C60" s="270" t="s">
        <v>85</v>
      </c>
      <c r="D60" s="273">
        <v>376.36</v>
      </c>
      <c r="E60" s="176">
        <v>1</v>
      </c>
      <c r="F60" s="177">
        <v>296973065</v>
      </c>
      <c r="G60" s="178">
        <f>IF(ISBLANK(F60),"-",(F60/$D$50*$D$47*$B$68)*($B$57/$D$60))</f>
        <v>207.20756549907287</v>
      </c>
      <c r="H60" s="179">
        <f t="shared" ref="H60:H71" si="0">IF(ISBLANK(F60),"-",G60/$B$56)</f>
        <v>1.0360378274953643</v>
      </c>
      <c r="L60" s="109"/>
    </row>
    <row r="61" spans="1:12" s="108" customFormat="1" ht="26.25" customHeight="1" x14ac:dyDescent="0.45">
      <c r="A61" s="121" t="s">
        <v>122</v>
      </c>
      <c r="B61" s="122">
        <v>100</v>
      </c>
      <c r="C61" s="271"/>
      <c r="D61" s="274"/>
      <c r="E61" s="180">
        <v>2</v>
      </c>
      <c r="F61" s="181">
        <v>296274153</v>
      </c>
      <c r="G61" s="182">
        <f>IF(ISBLANK(F61),"-",(F61/$D$50*$D$47*$B$68)*($B$57/$D$60))</f>
        <v>206.71991233760491</v>
      </c>
      <c r="H61" s="183">
        <f t="shared" si="0"/>
        <v>1.0335995616880245</v>
      </c>
      <c r="L61" s="109"/>
    </row>
    <row r="62" spans="1:12" s="108" customFormat="1" ht="26.25" customHeight="1" x14ac:dyDescent="0.45">
      <c r="A62" s="121" t="s">
        <v>123</v>
      </c>
      <c r="B62" s="122">
        <v>1</v>
      </c>
      <c r="C62" s="271"/>
      <c r="D62" s="274"/>
      <c r="E62" s="180">
        <v>3</v>
      </c>
      <c r="F62" s="184">
        <v>298418877</v>
      </c>
      <c r="G62" s="182">
        <f>IF(ISBLANK(F62),"-",(F62/$D$50*$D$47*$B$68)*($B$57/$D$60))</f>
        <v>208.21635457793886</v>
      </c>
      <c r="H62" s="183">
        <f t="shared" si="0"/>
        <v>1.0410817728896944</v>
      </c>
      <c r="L62" s="109"/>
    </row>
    <row r="63" spans="1:12" ht="27" customHeight="1" thickBot="1" x14ac:dyDescent="0.5">
      <c r="A63" s="121" t="s">
        <v>124</v>
      </c>
      <c r="B63" s="122">
        <v>1</v>
      </c>
      <c r="C63" s="272"/>
      <c r="D63" s="275"/>
      <c r="E63" s="185">
        <v>4</v>
      </c>
      <c r="F63" s="186"/>
      <c r="G63" s="182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5">
      <c r="A64" s="121" t="s">
        <v>125</v>
      </c>
      <c r="B64" s="122">
        <v>1</v>
      </c>
      <c r="C64" s="270" t="s">
        <v>86</v>
      </c>
      <c r="D64" s="273">
        <v>342.16</v>
      </c>
      <c r="E64" s="176">
        <v>1</v>
      </c>
      <c r="F64" s="177">
        <v>276802436</v>
      </c>
      <c r="G64" s="187">
        <f>IF(ISBLANK(F64),"-",(F64/$D$50*$D$47*$B$68)*($B$57/$D$64))</f>
        <v>212.43823149519667</v>
      </c>
      <c r="H64" s="188">
        <f t="shared" si="0"/>
        <v>1.0621911574759835</v>
      </c>
    </row>
    <row r="65" spans="1:8" ht="26.25" customHeight="1" x14ac:dyDescent="0.45">
      <c r="A65" s="121" t="s">
        <v>126</v>
      </c>
      <c r="B65" s="122">
        <v>1</v>
      </c>
      <c r="C65" s="271"/>
      <c r="D65" s="274"/>
      <c r="E65" s="180">
        <v>2</v>
      </c>
      <c r="F65" s="181">
        <v>276715974</v>
      </c>
      <c r="G65" s="189">
        <f>IF(ISBLANK(F65),"-",(F65/$D$50*$D$47*$B$68)*($B$57/$D$64))</f>
        <v>212.37187429604424</v>
      </c>
      <c r="H65" s="190">
        <f t="shared" si="0"/>
        <v>1.0618593714802211</v>
      </c>
    </row>
    <row r="66" spans="1:8" ht="26.25" customHeight="1" x14ac:dyDescent="0.45">
      <c r="A66" s="121" t="s">
        <v>127</v>
      </c>
      <c r="B66" s="122">
        <v>1</v>
      </c>
      <c r="C66" s="271"/>
      <c r="D66" s="274"/>
      <c r="E66" s="180">
        <v>3</v>
      </c>
      <c r="F66" s="181">
        <v>275924795</v>
      </c>
      <c r="G66" s="189">
        <f>IF(ISBLANK(F66),"-",(F66/$D$50*$D$47*$B$68)*($B$57/$D$64))</f>
        <v>211.76466624547587</v>
      </c>
      <c r="H66" s="190">
        <f t="shared" si="0"/>
        <v>1.0588233312273794</v>
      </c>
    </row>
    <row r="67" spans="1:8" ht="27" customHeight="1" thickBot="1" x14ac:dyDescent="0.5">
      <c r="A67" s="121" t="s">
        <v>128</v>
      </c>
      <c r="B67" s="122">
        <v>1</v>
      </c>
      <c r="C67" s="272"/>
      <c r="D67" s="275"/>
      <c r="E67" s="185">
        <v>4</v>
      </c>
      <c r="F67" s="186"/>
      <c r="G67" s="19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1" t="s">
        <v>87</v>
      </c>
      <c r="B68" s="193">
        <f>(B67/B66)*(B65/B64)*(B63/B62)*(B61/B60)*B59</f>
        <v>8333.3333333333339</v>
      </c>
      <c r="C68" s="270" t="s">
        <v>88</v>
      </c>
      <c r="D68" s="273">
        <v>361.93</v>
      </c>
      <c r="E68" s="176">
        <v>1</v>
      </c>
      <c r="F68" s="177">
        <v>288344117</v>
      </c>
      <c r="G68" s="187">
        <f>IF(ISBLANK(F68),"-",(F68/$D$50*$D$47*$B$68)*($B$57/$D$68))</f>
        <v>209.20811143566232</v>
      </c>
      <c r="H68" s="183">
        <f t="shared" si="0"/>
        <v>1.0460405571783116</v>
      </c>
    </row>
    <row r="69" spans="1:8" ht="27" customHeight="1" thickBot="1" x14ac:dyDescent="0.55000000000000004">
      <c r="A69" s="167" t="s">
        <v>89</v>
      </c>
      <c r="B69" s="194">
        <f>(D47*B68)/B56*B57</f>
        <v>377.46770833333346</v>
      </c>
      <c r="C69" s="271"/>
      <c r="D69" s="274"/>
      <c r="E69" s="180">
        <v>2</v>
      </c>
      <c r="F69" s="181">
        <v>287904509</v>
      </c>
      <c r="G69" s="189">
        <f>IF(ISBLANK(F69),"-",(F69/$D$50*$D$47*$B$68)*($B$57/$D$68))</f>
        <v>208.8891537943243</v>
      </c>
      <c r="H69" s="183">
        <f t="shared" si="0"/>
        <v>1.0444457689716216</v>
      </c>
    </row>
    <row r="70" spans="1:8" ht="26.25" customHeight="1" x14ac:dyDescent="0.45">
      <c r="A70" s="284" t="s">
        <v>70</v>
      </c>
      <c r="B70" s="285"/>
      <c r="C70" s="271"/>
      <c r="D70" s="274"/>
      <c r="E70" s="180">
        <v>3</v>
      </c>
      <c r="F70" s="181">
        <v>288590409</v>
      </c>
      <c r="G70" s="189">
        <f>IF(ISBLANK(F70),"-",(F70/$D$50*$D$47*$B$68)*($B$57/$D$68))</f>
        <v>209.38680862816202</v>
      </c>
      <c r="H70" s="183">
        <f t="shared" si="0"/>
        <v>1.0469340431408101</v>
      </c>
    </row>
    <row r="71" spans="1:8" ht="27" customHeight="1" thickBot="1" x14ac:dyDescent="0.5">
      <c r="A71" s="286"/>
      <c r="B71" s="287"/>
      <c r="C71" s="276"/>
      <c r="D71" s="275"/>
      <c r="E71" s="185">
        <v>4</v>
      </c>
      <c r="F71" s="186"/>
      <c r="G71" s="19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51"/>
      <c r="B72" s="151"/>
      <c r="C72" s="151"/>
      <c r="D72" s="151"/>
      <c r="E72" s="151"/>
      <c r="F72" s="196" t="s">
        <v>65</v>
      </c>
      <c r="G72" s="197">
        <f>AVERAGE(G60:G71)</f>
        <v>209.57807536772023</v>
      </c>
      <c r="H72" s="198">
        <f>AVERAGE(H60:H71)</f>
        <v>1.0478903768386012</v>
      </c>
    </row>
    <row r="73" spans="1:8" ht="26.25" customHeight="1" x14ac:dyDescent="0.45">
      <c r="C73" s="151"/>
      <c r="D73" s="151"/>
      <c r="E73" s="151"/>
      <c r="F73" s="199" t="s">
        <v>76</v>
      </c>
      <c r="G73" s="200">
        <f>STDEV(G60:G71)/G72</f>
        <v>1.0269485530699571E-2</v>
      </c>
      <c r="H73" s="200">
        <f>STDEV(H60:H71)/H72</f>
        <v>1.0269485530699589E-2</v>
      </c>
    </row>
    <row r="74" spans="1:8" ht="27" customHeight="1" thickBot="1" x14ac:dyDescent="0.5">
      <c r="A74" s="151"/>
      <c r="B74" s="151"/>
      <c r="C74" s="151"/>
      <c r="D74" s="151"/>
      <c r="E74" s="153"/>
      <c r="F74" s="201" t="s">
        <v>15</v>
      </c>
      <c r="G74" s="202">
        <f>COUNT(G60:G71)</f>
        <v>9</v>
      </c>
      <c r="H74" s="202">
        <f>COUNT(H60:H71)</f>
        <v>9</v>
      </c>
    </row>
    <row r="76" spans="1:8" ht="26.25" customHeight="1" x14ac:dyDescent="0.45">
      <c r="A76" s="104" t="s">
        <v>90</v>
      </c>
      <c r="B76" s="105" t="s">
        <v>91</v>
      </c>
      <c r="C76" s="266" t="str">
        <f>B20</f>
        <v>Nevirapine USP</v>
      </c>
      <c r="D76" s="266"/>
      <c r="E76" s="93" t="s">
        <v>92</v>
      </c>
      <c r="F76" s="93"/>
      <c r="G76" s="203">
        <f>H72</f>
        <v>1.0478903768386012</v>
      </c>
      <c r="H76" s="110"/>
    </row>
    <row r="77" spans="1:8" ht="18" x14ac:dyDescent="0.35">
      <c r="A77" s="103" t="s">
        <v>93</v>
      </c>
      <c r="B77" s="103" t="s">
        <v>94</v>
      </c>
    </row>
    <row r="78" spans="1:8" ht="18" x14ac:dyDescent="0.35">
      <c r="A78" s="103"/>
      <c r="B78" s="103"/>
    </row>
    <row r="79" spans="1:8" ht="26.25" customHeight="1" x14ac:dyDescent="0.45">
      <c r="A79" s="104" t="s">
        <v>4</v>
      </c>
      <c r="B79" s="277" t="str">
        <f>B26</f>
        <v>Nevirapine</v>
      </c>
      <c r="C79" s="277"/>
    </row>
    <row r="80" spans="1:8" ht="26.25" customHeight="1" x14ac:dyDescent="0.45">
      <c r="A80" s="105" t="s">
        <v>48</v>
      </c>
      <c r="B80" s="277" t="str">
        <f>B27</f>
        <v>N1-4</v>
      </c>
      <c r="C80" s="277"/>
    </row>
    <row r="81" spans="1:12" ht="27" customHeight="1" thickBot="1" x14ac:dyDescent="0.5">
      <c r="A81" s="105" t="s">
        <v>5</v>
      </c>
      <c r="B81" s="106">
        <v>98.8</v>
      </c>
    </row>
    <row r="82" spans="1:12" s="108" customFormat="1" ht="27" customHeight="1" thickBot="1" x14ac:dyDescent="0.55000000000000004">
      <c r="A82" s="105" t="s">
        <v>49</v>
      </c>
      <c r="B82" s="107">
        <v>0</v>
      </c>
      <c r="C82" s="278" t="s">
        <v>50</v>
      </c>
      <c r="D82" s="279"/>
      <c r="E82" s="279"/>
      <c r="F82" s="279"/>
      <c r="G82" s="280"/>
      <c r="I82" s="109"/>
      <c r="J82" s="109"/>
      <c r="K82" s="109"/>
      <c r="L82" s="109"/>
    </row>
    <row r="83" spans="1:12" s="108" customFormat="1" ht="19.5" customHeight="1" thickBot="1" x14ac:dyDescent="0.4">
      <c r="A83" s="105" t="s">
        <v>51</v>
      </c>
      <c r="B83" s="110">
        <f>B81-B82</f>
        <v>98.8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5">
      <c r="A84" s="105" t="s">
        <v>52</v>
      </c>
      <c r="B84" s="113">
        <v>1</v>
      </c>
      <c r="C84" s="281" t="s">
        <v>95</v>
      </c>
      <c r="D84" s="282"/>
      <c r="E84" s="282"/>
      <c r="F84" s="282"/>
      <c r="G84" s="282"/>
      <c r="H84" s="283"/>
      <c r="I84" s="109"/>
      <c r="J84" s="109"/>
      <c r="K84" s="109"/>
      <c r="L84" s="109"/>
    </row>
    <row r="85" spans="1:12" s="108" customFormat="1" ht="27" customHeight="1" thickBot="1" x14ac:dyDescent="0.5">
      <c r="A85" s="105" t="s">
        <v>54</v>
      </c>
      <c r="B85" s="113">
        <v>1</v>
      </c>
      <c r="C85" s="281" t="s">
        <v>96</v>
      </c>
      <c r="D85" s="282"/>
      <c r="E85" s="282"/>
      <c r="F85" s="282"/>
      <c r="G85" s="282"/>
      <c r="H85" s="283"/>
      <c r="I85" s="109"/>
      <c r="J85" s="109"/>
      <c r="K85" s="109"/>
      <c r="L85" s="109"/>
    </row>
    <row r="86" spans="1:12" s="108" customFormat="1" ht="18" x14ac:dyDescent="0.35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" x14ac:dyDescent="0.35">
      <c r="A87" s="105" t="s">
        <v>56</v>
      </c>
      <c r="B87" s="118">
        <f>B84/B85</f>
        <v>1</v>
      </c>
      <c r="C87" s="93" t="s">
        <v>57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4">
      <c r="A88" s="103"/>
      <c r="B88" s="103"/>
    </row>
    <row r="89" spans="1:12" ht="27" customHeight="1" thickBot="1" x14ac:dyDescent="0.5">
      <c r="A89" s="119" t="s">
        <v>58</v>
      </c>
      <c r="B89" s="120">
        <v>50</v>
      </c>
      <c r="D89" s="204" t="s">
        <v>59</v>
      </c>
      <c r="E89" s="205"/>
      <c r="F89" s="268" t="s">
        <v>60</v>
      </c>
      <c r="G89" s="269"/>
    </row>
    <row r="90" spans="1:12" ht="27" customHeight="1" thickBot="1" x14ac:dyDescent="0.5">
      <c r="A90" s="121" t="s">
        <v>113</v>
      </c>
      <c r="B90" s="122">
        <v>4</v>
      </c>
      <c r="C90" s="206" t="s">
        <v>61</v>
      </c>
      <c r="D90" s="124" t="s">
        <v>62</v>
      </c>
      <c r="E90" s="125" t="s">
        <v>63</v>
      </c>
      <c r="F90" s="124" t="s">
        <v>62</v>
      </c>
      <c r="G90" s="207" t="s">
        <v>63</v>
      </c>
      <c r="I90" s="127" t="s">
        <v>64</v>
      </c>
    </row>
    <row r="91" spans="1:12" ht="26.25" customHeight="1" x14ac:dyDescent="0.45">
      <c r="A91" s="121" t="s">
        <v>114</v>
      </c>
      <c r="B91" s="122">
        <v>100</v>
      </c>
      <c r="C91" s="208">
        <v>1</v>
      </c>
      <c r="D91" s="129">
        <v>165392754</v>
      </c>
      <c r="E91" s="130">
        <f>IF(ISBLANK(D91),"-",$D$101/$D$98*D91)</f>
        <v>161459850.38049182</v>
      </c>
      <c r="F91" s="129">
        <v>233030612</v>
      </c>
      <c r="G91" s="131">
        <f>IF(ISBLANK(F91),"-",$D$101/$F$98*F91)</f>
        <v>162573024.06936726</v>
      </c>
      <c r="I91" s="132"/>
    </row>
    <row r="92" spans="1:12" ht="26.25" customHeight="1" x14ac:dyDescent="0.45">
      <c r="A92" s="121" t="s">
        <v>115</v>
      </c>
      <c r="B92" s="122">
        <v>1</v>
      </c>
      <c r="C92" s="151">
        <v>2</v>
      </c>
      <c r="D92" s="134">
        <v>168687260</v>
      </c>
      <c r="E92" s="135">
        <f>IF(ISBLANK(D92),"-",$D$101/$D$98*D92)</f>
        <v>164676015.73824161</v>
      </c>
      <c r="F92" s="134">
        <v>231198878</v>
      </c>
      <c r="G92" s="136">
        <f>IF(ISBLANK(F92),"-",$D$101/$F$98*F92)</f>
        <v>161295120.99425247</v>
      </c>
      <c r="I92" s="259">
        <f>ABS((F96/D96*D95)-F95)/D95</f>
        <v>8.5540167981543683E-3</v>
      </c>
    </row>
    <row r="93" spans="1:12" ht="26.25" customHeight="1" x14ac:dyDescent="0.45">
      <c r="A93" s="121" t="s">
        <v>116</v>
      </c>
      <c r="B93" s="122">
        <v>1</v>
      </c>
      <c r="C93" s="151">
        <v>3</v>
      </c>
      <c r="D93" s="134">
        <v>167319849</v>
      </c>
      <c r="E93" s="135">
        <f>IF(ISBLANK(D93),"-",$D$101/$D$98*D93)</f>
        <v>163341120.6468361</v>
      </c>
      <c r="F93" s="134">
        <v>233093141</v>
      </c>
      <c r="G93" s="136">
        <f>IF(ISBLANK(F93),"-",$D$101/$F$98*F93)</f>
        <v>162616647.21627825</v>
      </c>
      <c r="I93" s="259"/>
    </row>
    <row r="94" spans="1:12" ht="27" customHeight="1" thickBot="1" x14ac:dyDescent="0.5">
      <c r="A94" s="121" t="s">
        <v>117</v>
      </c>
      <c r="B94" s="122">
        <v>1</v>
      </c>
      <c r="C94" s="209">
        <v>4</v>
      </c>
      <c r="D94" s="138"/>
      <c r="E94" s="139" t="str">
        <f>IF(ISBLANK(D94),"-",$D$101/$D$98*D94)</f>
        <v>-</v>
      </c>
      <c r="F94" s="210"/>
      <c r="G94" s="140" t="str">
        <f>IF(ISBLANK(F94),"-",$D$101/$F$98*F94)</f>
        <v>-</v>
      </c>
      <c r="I94" s="141"/>
    </row>
    <row r="95" spans="1:12" ht="27" customHeight="1" thickBot="1" x14ac:dyDescent="0.5">
      <c r="A95" s="121" t="s">
        <v>118</v>
      </c>
      <c r="B95" s="122">
        <v>1</v>
      </c>
      <c r="C95" s="105" t="s">
        <v>65</v>
      </c>
      <c r="D95" s="211">
        <f>AVERAGE(D91:D94)</f>
        <v>167133287.66666666</v>
      </c>
      <c r="E95" s="144">
        <f>AVERAGE(E91:E94)</f>
        <v>163158995.58852318</v>
      </c>
      <c r="F95" s="212">
        <f>AVERAGE(F91:F94)</f>
        <v>232440877</v>
      </c>
      <c r="G95" s="213">
        <f>AVERAGE(G91:G94)</f>
        <v>162161597.42663267</v>
      </c>
    </row>
    <row r="96" spans="1:12" ht="26.25" customHeight="1" x14ac:dyDescent="0.45">
      <c r="A96" s="121" t="s">
        <v>119</v>
      </c>
      <c r="B96" s="106">
        <v>1</v>
      </c>
      <c r="C96" s="214" t="s">
        <v>97</v>
      </c>
      <c r="D96" s="215">
        <v>17.28</v>
      </c>
      <c r="E96" s="93"/>
      <c r="F96" s="148">
        <v>24.18</v>
      </c>
    </row>
    <row r="97" spans="1:10" ht="26.25" customHeight="1" x14ac:dyDescent="0.45">
      <c r="A97" s="121" t="s">
        <v>120</v>
      </c>
      <c r="B97" s="106">
        <v>1</v>
      </c>
      <c r="C97" s="216" t="s">
        <v>98</v>
      </c>
      <c r="D97" s="217">
        <f>D96*$B$87</f>
        <v>17.28</v>
      </c>
      <c r="E97" s="151"/>
      <c r="F97" s="150">
        <f>F96*$B$87</f>
        <v>24.18</v>
      </c>
    </row>
    <row r="98" spans="1:10" ht="19.5" customHeight="1" thickBot="1" x14ac:dyDescent="0.4">
      <c r="A98" s="121" t="s">
        <v>68</v>
      </c>
      <c r="B98" s="151">
        <f>(B97/B96)*(B95/B94)*(B93/B92)*(B91/B90)*B89</f>
        <v>1250</v>
      </c>
      <c r="C98" s="216" t="s">
        <v>99</v>
      </c>
      <c r="D98" s="218">
        <f>D97*$B$83/100</f>
        <v>17.07264</v>
      </c>
      <c r="E98" s="153"/>
      <c r="F98" s="152">
        <f>F97*$B$83/100</f>
        <v>23.88984</v>
      </c>
    </row>
    <row r="99" spans="1:10" ht="19.5" customHeight="1" thickBot="1" x14ac:dyDescent="0.4">
      <c r="A99" s="260" t="s">
        <v>70</v>
      </c>
      <c r="B99" s="261"/>
      <c r="C99" s="216" t="s">
        <v>100</v>
      </c>
      <c r="D99" s="219">
        <f>D98/$B$98</f>
        <v>1.3658112E-2</v>
      </c>
      <c r="E99" s="153"/>
      <c r="F99" s="156">
        <f>F98/$B$98</f>
        <v>1.9111871999999999E-2</v>
      </c>
      <c r="H99" s="146"/>
    </row>
    <row r="100" spans="1:10" ht="19.5" customHeight="1" thickBot="1" x14ac:dyDescent="0.4">
      <c r="A100" s="262"/>
      <c r="B100" s="263"/>
      <c r="C100" s="216" t="s">
        <v>72</v>
      </c>
      <c r="D100" s="220">
        <f>$B$56/$B$116</f>
        <v>1.3333333333333332E-2</v>
      </c>
      <c r="F100" s="161"/>
      <c r="G100" s="221"/>
      <c r="H100" s="146"/>
    </row>
    <row r="101" spans="1:10" ht="18" x14ac:dyDescent="0.35">
      <c r="C101" s="216" t="s">
        <v>73</v>
      </c>
      <c r="D101" s="217">
        <f>D100*$B$98</f>
        <v>16.666666666666664</v>
      </c>
      <c r="F101" s="161"/>
      <c r="H101" s="146"/>
    </row>
    <row r="102" spans="1:10" ht="19.5" customHeight="1" thickBot="1" x14ac:dyDescent="0.4">
      <c r="C102" s="222" t="s">
        <v>74</v>
      </c>
      <c r="D102" s="223">
        <f>D101/B34</f>
        <v>16.666666666666664</v>
      </c>
      <c r="F102" s="165"/>
      <c r="H102" s="146"/>
      <c r="J102" s="224"/>
    </row>
    <row r="103" spans="1:10" ht="18" x14ac:dyDescent="0.35">
      <c r="C103" s="225" t="s">
        <v>101</v>
      </c>
      <c r="D103" s="226">
        <f>AVERAGE(E91:E94,G91:G94)</f>
        <v>162660296.5075779</v>
      </c>
      <c r="F103" s="165"/>
      <c r="G103" s="221"/>
      <c r="H103" s="146"/>
      <c r="J103" s="227"/>
    </row>
    <row r="104" spans="1:10" ht="18" x14ac:dyDescent="0.35">
      <c r="C104" s="199" t="s">
        <v>76</v>
      </c>
      <c r="D104" s="228">
        <f>STDEV(E91:E94,G91:G94)/D103</f>
        <v>7.6987030501902906E-3</v>
      </c>
      <c r="F104" s="165"/>
      <c r="H104" s="146"/>
      <c r="J104" s="227"/>
    </row>
    <row r="105" spans="1:10" ht="19.5" customHeight="1" thickBot="1" x14ac:dyDescent="0.4">
      <c r="C105" s="201" t="s">
        <v>15</v>
      </c>
      <c r="D105" s="229">
        <f>COUNT(E91:E94,G91:G94)</f>
        <v>6</v>
      </c>
      <c r="F105" s="165"/>
      <c r="H105" s="146"/>
      <c r="J105" s="227"/>
    </row>
    <row r="106" spans="1:10" ht="19.5" customHeight="1" thickBot="1" x14ac:dyDescent="0.4">
      <c r="A106" s="169"/>
      <c r="B106" s="169"/>
      <c r="C106" s="169"/>
      <c r="D106" s="169"/>
      <c r="E106" s="169"/>
    </row>
    <row r="107" spans="1:10" ht="26.25" customHeight="1" x14ac:dyDescent="0.45">
      <c r="A107" s="119" t="s">
        <v>102</v>
      </c>
      <c r="B107" s="120">
        <v>900</v>
      </c>
      <c r="C107" s="204" t="s">
        <v>103</v>
      </c>
      <c r="D107" s="230" t="s">
        <v>62</v>
      </c>
      <c r="E107" s="231" t="s">
        <v>104</v>
      </c>
      <c r="F107" s="232" t="s">
        <v>105</v>
      </c>
    </row>
    <row r="108" spans="1:10" ht="26.25" customHeight="1" x14ac:dyDescent="0.45">
      <c r="A108" s="121" t="s">
        <v>129</v>
      </c>
      <c r="B108" s="122">
        <v>3</v>
      </c>
      <c r="C108" s="233">
        <v>1</v>
      </c>
      <c r="D108" s="234">
        <v>160901362</v>
      </c>
      <c r="E108" s="235">
        <f t="shared" ref="E108:E113" si="1">IF(ISBLANK(D108),"-",D108/$D$103*$D$100*$B$116)</f>
        <v>197.83729091198853</v>
      </c>
      <c r="F108" s="236">
        <f t="shared" ref="F108:F113" si="2">IF(ISBLANK(D108), "-", E108/$B$56)</f>
        <v>0.9891864545599427</v>
      </c>
    </row>
    <row r="109" spans="1:10" ht="26.25" customHeight="1" x14ac:dyDescent="0.45">
      <c r="A109" s="121" t="s">
        <v>122</v>
      </c>
      <c r="B109" s="122">
        <v>50</v>
      </c>
      <c r="C109" s="233">
        <v>2</v>
      </c>
      <c r="D109" s="234">
        <v>150632943</v>
      </c>
      <c r="E109" s="237">
        <f t="shared" si="1"/>
        <v>185.21169115535508</v>
      </c>
      <c r="F109" s="238">
        <f t="shared" si="2"/>
        <v>0.92605845577677537</v>
      </c>
    </row>
    <row r="110" spans="1:10" ht="26.25" customHeight="1" x14ac:dyDescent="0.45">
      <c r="A110" s="121" t="s">
        <v>123</v>
      </c>
      <c r="B110" s="122">
        <v>1</v>
      </c>
      <c r="C110" s="233">
        <v>3</v>
      </c>
      <c r="D110" s="234">
        <v>152208742</v>
      </c>
      <c r="E110" s="237">
        <f t="shared" si="1"/>
        <v>187.14922481763585</v>
      </c>
      <c r="F110" s="238">
        <f t="shared" si="2"/>
        <v>0.93574612408817925</v>
      </c>
    </row>
    <row r="111" spans="1:10" ht="26.25" customHeight="1" x14ac:dyDescent="0.45">
      <c r="A111" s="121" t="s">
        <v>124</v>
      </c>
      <c r="B111" s="122">
        <v>1</v>
      </c>
      <c r="C111" s="233">
        <v>4</v>
      </c>
      <c r="D111" s="234">
        <v>159823686</v>
      </c>
      <c r="E111" s="237">
        <f t="shared" si="1"/>
        <v>196.51222754601861</v>
      </c>
      <c r="F111" s="238">
        <f t="shared" si="2"/>
        <v>0.98256113773009301</v>
      </c>
    </row>
    <row r="112" spans="1:10" ht="26.25" customHeight="1" x14ac:dyDescent="0.45">
      <c r="A112" s="121" t="s">
        <v>125</v>
      </c>
      <c r="B112" s="122">
        <v>1</v>
      </c>
      <c r="C112" s="233">
        <v>5</v>
      </c>
      <c r="D112" s="234">
        <v>144827376</v>
      </c>
      <c r="E112" s="237">
        <f t="shared" si="1"/>
        <v>178.07341940170741</v>
      </c>
      <c r="F112" s="238">
        <f t="shared" si="2"/>
        <v>0.89036709700853711</v>
      </c>
    </row>
    <row r="113" spans="1:10" ht="26.25" customHeight="1" x14ac:dyDescent="0.45">
      <c r="A113" s="121" t="s">
        <v>126</v>
      </c>
      <c r="B113" s="122">
        <v>1</v>
      </c>
      <c r="C113" s="239">
        <v>6</v>
      </c>
      <c r="D113" s="240">
        <v>153109008</v>
      </c>
      <c r="E113" s="241">
        <f t="shared" si="1"/>
        <v>188.25615259205813</v>
      </c>
      <c r="F113" s="242">
        <f t="shared" si="2"/>
        <v>0.94128076296029062</v>
      </c>
    </row>
    <row r="114" spans="1:10" ht="26.25" customHeight="1" x14ac:dyDescent="0.45">
      <c r="A114" s="121" t="s">
        <v>127</v>
      </c>
      <c r="B114" s="122">
        <v>1</v>
      </c>
      <c r="C114" s="233"/>
      <c r="D114" s="151"/>
      <c r="E114" s="93"/>
      <c r="F114" s="243"/>
    </row>
    <row r="115" spans="1:10" ht="26.25" customHeight="1" x14ac:dyDescent="0.45">
      <c r="A115" s="121" t="s">
        <v>128</v>
      </c>
      <c r="B115" s="122">
        <v>1</v>
      </c>
      <c r="C115" s="233"/>
      <c r="D115" s="244" t="s">
        <v>65</v>
      </c>
      <c r="E115" s="245">
        <f>AVERAGE(E108:E113)</f>
        <v>188.84000107079396</v>
      </c>
      <c r="F115" s="246">
        <f>AVERAGE(F108:F113)</f>
        <v>0.94420000535396964</v>
      </c>
    </row>
    <row r="116" spans="1:10" ht="27" customHeight="1" thickBot="1" x14ac:dyDescent="0.5">
      <c r="A116" s="121" t="s">
        <v>87</v>
      </c>
      <c r="B116" s="133">
        <f>(B115/B114)*(B113/B112)*(B111/B110)*(B109/B108)*B107</f>
        <v>15000.000000000002</v>
      </c>
      <c r="C116" s="247"/>
      <c r="D116" s="105" t="s">
        <v>76</v>
      </c>
      <c r="E116" s="248">
        <f>STDEV(E108:E113)/E115</f>
        <v>3.9064612375020201E-2</v>
      </c>
      <c r="F116" s="248">
        <f>STDEV(F108:F113)/F115</f>
        <v>3.9064612375020201E-2</v>
      </c>
      <c r="I116" s="93"/>
    </row>
    <row r="117" spans="1:10" ht="27" customHeight="1" thickBot="1" x14ac:dyDescent="0.5">
      <c r="A117" s="260" t="s">
        <v>70</v>
      </c>
      <c r="B117" s="264"/>
      <c r="C117" s="249"/>
      <c r="D117" s="250" t="s">
        <v>15</v>
      </c>
      <c r="E117" s="251">
        <f>COUNT(E108:E113)</f>
        <v>6</v>
      </c>
      <c r="F117" s="251">
        <f>COUNT(F108:F113)</f>
        <v>6</v>
      </c>
      <c r="I117" s="93"/>
      <c r="J117" s="227"/>
    </row>
    <row r="118" spans="1:10" ht="19.5" customHeight="1" thickBot="1" x14ac:dyDescent="0.4">
      <c r="A118" s="262"/>
      <c r="B118" s="265"/>
      <c r="C118" s="93"/>
      <c r="D118" s="93"/>
      <c r="E118" s="93"/>
      <c r="F118" s="151"/>
      <c r="G118" s="93"/>
      <c r="H118" s="93"/>
      <c r="I118" s="93"/>
    </row>
    <row r="119" spans="1:10" ht="18" x14ac:dyDescent="0.35">
      <c r="A119" s="252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5">
      <c r="A120" s="104" t="s">
        <v>90</v>
      </c>
      <c r="B120" s="105" t="s">
        <v>106</v>
      </c>
      <c r="C120" s="266" t="str">
        <f>B20</f>
        <v>Nevirapine USP</v>
      </c>
      <c r="D120" s="266"/>
      <c r="E120" s="93" t="s">
        <v>107</v>
      </c>
      <c r="F120" s="93"/>
      <c r="G120" s="203">
        <f>F115</f>
        <v>0.94420000535396964</v>
      </c>
      <c r="H120" s="93"/>
      <c r="I120" s="93"/>
    </row>
    <row r="121" spans="1:10" ht="19.5" customHeight="1" thickBot="1" x14ac:dyDescent="0.4">
      <c r="A121" s="253"/>
      <c r="B121" s="253"/>
      <c r="C121" s="254"/>
      <c r="D121" s="254"/>
      <c r="E121" s="254"/>
      <c r="F121" s="254"/>
      <c r="G121" s="254"/>
      <c r="H121" s="254"/>
    </row>
    <row r="122" spans="1:10" ht="18" x14ac:dyDescent="0.35">
      <c r="B122" s="267" t="s">
        <v>18</v>
      </c>
      <c r="C122" s="267"/>
      <c r="E122" s="206" t="s">
        <v>19</v>
      </c>
      <c r="F122" s="255"/>
      <c r="G122" s="267" t="s">
        <v>20</v>
      </c>
      <c r="H122" s="267"/>
    </row>
    <row r="123" spans="1:10" ht="69.900000000000006" customHeight="1" x14ac:dyDescent="0.35">
      <c r="A123" s="104" t="s">
        <v>21</v>
      </c>
      <c r="B123" s="256"/>
      <c r="C123" s="256"/>
      <c r="E123" s="256"/>
      <c r="F123" s="93"/>
      <c r="G123" s="256"/>
      <c r="H123" s="256"/>
    </row>
    <row r="124" spans="1:10" ht="69.900000000000006" customHeight="1" x14ac:dyDescent="0.35">
      <c r="A124" s="104" t="s">
        <v>22</v>
      </c>
      <c r="B124" s="257"/>
      <c r="C124" s="257"/>
      <c r="E124" s="257"/>
      <c r="F124" s="93"/>
      <c r="G124" s="258"/>
      <c r="H124" s="258"/>
    </row>
    <row r="125" spans="1:10" ht="18" x14ac:dyDescent="0.35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" x14ac:dyDescent="0.35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" x14ac:dyDescent="0.35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" x14ac:dyDescent="0.35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" x14ac:dyDescent="0.35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" x14ac:dyDescent="0.35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" x14ac:dyDescent="0.35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" x14ac:dyDescent="0.35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" x14ac:dyDescent="0.35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3">
      <c r="A250" s="9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F31" sqref="F31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45</v>
      </c>
      <c r="D17" s="54"/>
      <c r="E17" s="55"/>
    </row>
    <row r="18" spans="1:5" ht="16.5" customHeight="1" x14ac:dyDescent="0.3">
      <c r="A18" s="56" t="s">
        <v>4</v>
      </c>
      <c r="B18" s="57" t="s">
        <v>130</v>
      </c>
      <c r="C18" s="55"/>
      <c r="D18" s="55"/>
      <c r="E18" s="55"/>
    </row>
    <row r="19" spans="1:5" ht="16.5" customHeight="1" x14ac:dyDescent="0.3">
      <c r="A19" s="56" t="s">
        <v>5</v>
      </c>
      <c r="B19" s="308">
        <v>98.8</v>
      </c>
      <c r="C19" s="55"/>
      <c r="D19" s="55"/>
      <c r="E19" s="55"/>
    </row>
    <row r="20" spans="1:5" ht="16.5" customHeight="1" x14ac:dyDescent="0.3">
      <c r="A20" s="53" t="s">
        <v>6</v>
      </c>
      <c r="B20" s="57">
        <v>18.059999999999999</v>
      </c>
      <c r="C20" s="55"/>
      <c r="D20" s="55"/>
      <c r="E20" s="55"/>
    </row>
    <row r="21" spans="1:5" ht="16.5" customHeight="1" x14ac:dyDescent="0.3">
      <c r="A21" s="53" t="s">
        <v>7</v>
      </c>
      <c r="B21" s="58">
        <f>B20/20*3/100</f>
        <v>2.7089999999999996E-2</v>
      </c>
      <c r="C21" s="55"/>
      <c r="D21" s="55"/>
      <c r="E21" s="55"/>
    </row>
    <row r="22" spans="1:5" ht="15.75" customHeight="1" x14ac:dyDescent="0.3">
      <c r="A22" s="55"/>
      <c r="B22" s="55" t="s">
        <v>109</v>
      </c>
      <c r="C22" s="55"/>
      <c r="D22" s="55"/>
      <c r="E22" s="55"/>
    </row>
    <row r="23" spans="1:5" ht="16.5" customHeight="1" x14ac:dyDescent="0.3">
      <c r="A23" s="59" t="s">
        <v>8</v>
      </c>
      <c r="B23" s="60" t="s">
        <v>9</v>
      </c>
      <c r="C23" s="59" t="s">
        <v>10</v>
      </c>
      <c r="D23" s="59" t="s">
        <v>11</v>
      </c>
      <c r="E23" s="59" t="s">
        <v>12</v>
      </c>
    </row>
    <row r="24" spans="1:5" ht="16.5" customHeight="1" x14ac:dyDescent="0.3">
      <c r="A24" s="61">
        <v>1</v>
      </c>
      <c r="B24" s="62">
        <v>304835723</v>
      </c>
      <c r="C24" s="62">
        <v>5553.89</v>
      </c>
      <c r="D24" s="63">
        <v>1.01</v>
      </c>
      <c r="E24" s="64">
        <v>8.43</v>
      </c>
    </row>
    <row r="25" spans="1:5" ht="16.5" customHeight="1" x14ac:dyDescent="0.3">
      <c r="A25" s="61">
        <v>2</v>
      </c>
      <c r="B25" s="62">
        <v>307683796</v>
      </c>
      <c r="C25" s="62">
        <v>5515.43</v>
      </c>
      <c r="D25" s="63">
        <v>1.02</v>
      </c>
      <c r="E25" s="63">
        <v>8.43</v>
      </c>
    </row>
    <row r="26" spans="1:5" ht="16.5" customHeight="1" x14ac:dyDescent="0.3">
      <c r="A26" s="61">
        <v>3</v>
      </c>
      <c r="B26" s="62">
        <v>307124602</v>
      </c>
      <c r="C26" s="62">
        <v>5497.34</v>
      </c>
      <c r="D26" s="63">
        <v>1.02</v>
      </c>
      <c r="E26" s="63">
        <v>8.43</v>
      </c>
    </row>
    <row r="27" spans="1:5" ht="16.5" customHeight="1" x14ac:dyDescent="0.3">
      <c r="A27" s="61">
        <v>4</v>
      </c>
      <c r="B27" s="62">
        <v>308078838</v>
      </c>
      <c r="C27" s="62">
        <v>5447.13</v>
      </c>
      <c r="D27" s="63">
        <v>1.02</v>
      </c>
      <c r="E27" s="63">
        <v>8.43</v>
      </c>
    </row>
    <row r="28" spans="1:5" ht="16.5" customHeight="1" x14ac:dyDescent="0.3">
      <c r="A28" s="61">
        <v>5</v>
      </c>
      <c r="B28" s="62">
        <v>305968606</v>
      </c>
      <c r="C28" s="62">
        <v>5440.37</v>
      </c>
      <c r="D28" s="63">
        <v>1.01</v>
      </c>
      <c r="E28" s="63">
        <v>8.43</v>
      </c>
    </row>
    <row r="29" spans="1:5" ht="16.5" customHeight="1" x14ac:dyDescent="0.3">
      <c r="A29" s="61">
        <v>6</v>
      </c>
      <c r="B29" s="65">
        <v>305534025</v>
      </c>
      <c r="C29" s="65">
        <v>5406.43</v>
      </c>
      <c r="D29" s="66">
        <v>1.01</v>
      </c>
      <c r="E29" s="66">
        <v>8.43</v>
      </c>
    </row>
    <row r="30" spans="1:5" ht="16.5" customHeight="1" x14ac:dyDescent="0.3">
      <c r="A30" s="67" t="s">
        <v>13</v>
      </c>
      <c r="B30" s="68">
        <f>AVERAGE(B24:B29)</f>
        <v>306537598.33333331</v>
      </c>
      <c r="C30" s="69">
        <f>AVERAGE(C24:C29)</f>
        <v>5476.7649999999994</v>
      </c>
      <c r="D30" s="70">
        <f>AVERAGE(D24:D29)</f>
        <v>1.0149999999999999</v>
      </c>
      <c r="E30" s="70">
        <f>AVERAGE(E24:E29)</f>
        <v>8.43</v>
      </c>
    </row>
    <row r="31" spans="1:5" ht="16.5" customHeight="1" x14ac:dyDescent="0.3">
      <c r="A31" s="71" t="s">
        <v>14</v>
      </c>
      <c r="B31" s="72">
        <f>(STDEV(B24:B29)/B30)</f>
        <v>4.1932326998159368E-3</v>
      </c>
      <c r="C31" s="73"/>
      <c r="D31" s="73"/>
      <c r="E31" s="74"/>
    </row>
    <row r="32" spans="1:5" s="49" customFormat="1" ht="16.5" customHeight="1" x14ac:dyDescent="0.3">
      <c r="A32" s="75" t="s">
        <v>15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16</v>
      </c>
      <c r="B34" s="80" t="s">
        <v>110</v>
      </c>
      <c r="C34" s="81"/>
      <c r="D34" s="81"/>
      <c r="E34" s="81"/>
    </row>
    <row r="35" spans="1:5" ht="16.5" customHeight="1" x14ac:dyDescent="0.3">
      <c r="A35" s="56"/>
      <c r="B35" s="80" t="s">
        <v>111</v>
      </c>
      <c r="C35" s="81"/>
      <c r="D35" s="81"/>
      <c r="E35" s="81"/>
    </row>
    <row r="36" spans="1:5" ht="16.5" customHeight="1" x14ac:dyDescent="0.3">
      <c r="A36" s="56"/>
      <c r="B36" s="80" t="s">
        <v>112</v>
      </c>
      <c r="C36" s="81"/>
      <c r="D36" s="81"/>
      <c r="E36" s="81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17</v>
      </c>
    </row>
    <row r="39" spans="1:5" ht="16.5" customHeight="1" x14ac:dyDescent="0.3">
      <c r="A39" s="56" t="s">
        <v>4</v>
      </c>
      <c r="B39" s="53" t="s">
        <v>108</v>
      </c>
      <c r="C39" s="55"/>
      <c r="D39" s="55"/>
      <c r="E39" s="55"/>
    </row>
    <row r="40" spans="1:5" ht="16.5" customHeight="1" x14ac:dyDescent="0.3">
      <c r="A40" s="56" t="s">
        <v>5</v>
      </c>
      <c r="B40" s="57">
        <v>99.8</v>
      </c>
      <c r="C40" s="55"/>
      <c r="D40" s="55"/>
      <c r="E40" s="55"/>
    </row>
    <row r="41" spans="1:5" ht="16.5" customHeight="1" x14ac:dyDescent="0.3">
      <c r="A41" s="53" t="s">
        <v>6</v>
      </c>
      <c r="B41" s="57">
        <v>18.04</v>
      </c>
      <c r="C41" s="55"/>
      <c r="D41" s="55"/>
      <c r="E41" s="55"/>
    </row>
    <row r="42" spans="1:5" ht="16.5" customHeight="1" x14ac:dyDescent="0.3">
      <c r="A42" s="53" t="s">
        <v>7</v>
      </c>
      <c r="B42" s="58">
        <v>2.1669999999999998E-2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59" t="s">
        <v>8</v>
      </c>
      <c r="B44" s="60" t="s">
        <v>9</v>
      </c>
      <c r="C44" s="59" t="s">
        <v>10</v>
      </c>
      <c r="D44" s="59" t="s">
        <v>11</v>
      </c>
      <c r="E44" s="59" t="s">
        <v>12</v>
      </c>
    </row>
    <row r="45" spans="1:5" ht="16.5" customHeight="1" x14ac:dyDescent="0.3">
      <c r="A45" s="61">
        <v>1</v>
      </c>
      <c r="B45" s="62">
        <v>304835723</v>
      </c>
      <c r="C45" s="62">
        <v>5553.89</v>
      </c>
      <c r="D45" s="63">
        <v>1.01</v>
      </c>
      <c r="E45" s="64">
        <v>8.43</v>
      </c>
    </row>
    <row r="46" spans="1:5" ht="16.5" customHeight="1" x14ac:dyDescent="0.3">
      <c r="A46" s="61">
        <v>2</v>
      </c>
      <c r="B46" s="62">
        <v>307683796</v>
      </c>
      <c r="C46" s="62">
        <v>5515.43</v>
      </c>
      <c r="D46" s="63">
        <v>1.02</v>
      </c>
      <c r="E46" s="63">
        <v>8.43</v>
      </c>
    </row>
    <row r="47" spans="1:5" ht="16.5" customHeight="1" x14ac:dyDescent="0.3">
      <c r="A47" s="61">
        <v>3</v>
      </c>
      <c r="B47" s="62">
        <v>307124602</v>
      </c>
      <c r="C47" s="62">
        <v>5497.34</v>
      </c>
      <c r="D47" s="63">
        <v>1.02</v>
      </c>
      <c r="E47" s="63">
        <v>8.43</v>
      </c>
    </row>
    <row r="48" spans="1:5" ht="16.5" customHeight="1" x14ac:dyDescent="0.3">
      <c r="A48" s="61">
        <v>4</v>
      </c>
      <c r="B48" s="62">
        <v>308078838</v>
      </c>
      <c r="C48" s="62">
        <v>5447.13</v>
      </c>
      <c r="D48" s="63">
        <v>1.02</v>
      </c>
      <c r="E48" s="63">
        <v>8.43</v>
      </c>
    </row>
    <row r="49" spans="1:7" ht="16.5" customHeight="1" x14ac:dyDescent="0.3">
      <c r="A49" s="61">
        <v>5</v>
      </c>
      <c r="B49" s="62">
        <v>305968606</v>
      </c>
      <c r="C49" s="62">
        <v>5440.37</v>
      </c>
      <c r="D49" s="63">
        <v>1.01</v>
      </c>
      <c r="E49" s="63">
        <v>8.43</v>
      </c>
    </row>
    <row r="50" spans="1:7" ht="16.5" customHeight="1" x14ac:dyDescent="0.3">
      <c r="A50" s="61">
        <v>6</v>
      </c>
      <c r="B50" s="65">
        <v>305534025</v>
      </c>
      <c r="C50" s="65">
        <v>5406.43</v>
      </c>
      <c r="D50" s="66">
        <v>1.01</v>
      </c>
      <c r="E50" s="66">
        <v>8.43</v>
      </c>
    </row>
    <row r="51" spans="1:7" ht="16.5" customHeight="1" x14ac:dyDescent="0.3">
      <c r="A51" s="67" t="s">
        <v>13</v>
      </c>
      <c r="B51" s="68">
        <f>AVERAGE(B45:B50)</f>
        <v>306537598.33333331</v>
      </c>
      <c r="C51" s="69">
        <f>AVERAGE(C45:C50)</f>
        <v>5476.7649999999994</v>
      </c>
      <c r="D51" s="70">
        <f>AVERAGE(D45:D50)</f>
        <v>1.0149999999999999</v>
      </c>
      <c r="E51" s="70">
        <f>AVERAGE(E45:E50)</f>
        <v>8.43</v>
      </c>
    </row>
    <row r="52" spans="1:7" ht="16.5" customHeight="1" x14ac:dyDescent="0.3">
      <c r="A52" s="71" t="s">
        <v>14</v>
      </c>
      <c r="B52" s="72">
        <f>(STDEV(B45:B50)/B51)</f>
        <v>4.1932326998159368E-3</v>
      </c>
      <c r="C52" s="73"/>
      <c r="D52" s="73"/>
      <c r="E52" s="74"/>
    </row>
    <row r="53" spans="1:7" s="49" customFormat="1" ht="16.5" customHeight="1" x14ac:dyDescent="0.3">
      <c r="A53" s="75" t="s">
        <v>15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16</v>
      </c>
      <c r="B55" s="80" t="s">
        <v>110</v>
      </c>
      <c r="C55" s="81"/>
      <c r="D55" s="81"/>
      <c r="E55" s="81"/>
    </row>
    <row r="56" spans="1:7" ht="16.5" customHeight="1" x14ac:dyDescent="0.3">
      <c r="A56" s="56"/>
      <c r="B56" s="80" t="s">
        <v>111</v>
      </c>
      <c r="C56" s="81"/>
      <c r="D56" s="81"/>
      <c r="E56" s="81"/>
    </row>
    <row r="57" spans="1:7" ht="16.5" customHeight="1" x14ac:dyDescent="0.3">
      <c r="A57" s="56"/>
      <c r="B57" s="80" t="s">
        <v>112</v>
      </c>
      <c r="C57" s="81"/>
      <c r="D57" s="81"/>
      <c r="E57" s="81"/>
    </row>
    <row r="58" spans="1:7" ht="14.25" customHeight="1" thickBot="1" x14ac:dyDescent="0.35">
      <c r="A58" s="82"/>
      <c r="B58" s="83"/>
      <c r="D58" s="84"/>
      <c r="F58" s="85"/>
      <c r="G58" s="85"/>
    </row>
    <row r="59" spans="1:7" ht="15" customHeight="1" x14ac:dyDescent="0.3">
      <c r="B59" s="299" t="s">
        <v>18</v>
      </c>
      <c r="C59" s="299"/>
      <c r="E59" s="86" t="s">
        <v>19</v>
      </c>
      <c r="F59" s="87"/>
      <c r="G59" s="86" t="s">
        <v>20</v>
      </c>
    </row>
    <row r="60" spans="1:7" ht="15" customHeight="1" x14ac:dyDescent="0.3">
      <c r="A60" s="88" t="s">
        <v>21</v>
      </c>
      <c r="B60" s="89"/>
      <c r="C60" s="89"/>
      <c r="E60" s="89"/>
      <c r="G60" s="89"/>
    </row>
    <row r="61" spans="1:7" ht="15" customHeight="1" x14ac:dyDescent="0.3">
      <c r="A61" s="88" t="s">
        <v>22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0" workbookViewId="0">
      <selection activeCell="C46" sqref="C4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303" t="s">
        <v>23</v>
      </c>
      <c r="B11" s="304"/>
      <c r="C11" s="304"/>
      <c r="D11" s="304"/>
      <c r="E11" s="304"/>
      <c r="F11" s="305"/>
      <c r="G11" s="41"/>
    </row>
    <row r="12" spans="1:7" ht="16.5" customHeight="1" x14ac:dyDescent="0.3">
      <c r="A12" s="302" t="s">
        <v>24</v>
      </c>
      <c r="B12" s="302"/>
      <c r="C12" s="302"/>
      <c r="D12" s="302"/>
      <c r="E12" s="302"/>
      <c r="F12" s="302"/>
      <c r="G12" s="40"/>
    </row>
    <row r="14" spans="1:7" ht="16.5" customHeight="1" x14ac:dyDescent="0.3">
      <c r="A14" s="307" t="s">
        <v>25</v>
      </c>
      <c r="B14" s="307"/>
      <c r="C14" s="10" t="s">
        <v>26</v>
      </c>
    </row>
    <row r="15" spans="1:7" ht="16.5" customHeight="1" x14ac:dyDescent="0.3">
      <c r="A15" s="307" t="s">
        <v>27</v>
      </c>
      <c r="B15" s="307"/>
      <c r="C15" s="10" t="s">
        <v>28</v>
      </c>
    </row>
    <row r="16" spans="1:7" ht="16.5" customHeight="1" x14ac:dyDescent="0.3">
      <c r="A16" s="307" t="s">
        <v>29</v>
      </c>
      <c r="B16" s="307"/>
      <c r="C16" s="10" t="s">
        <v>30</v>
      </c>
    </row>
    <row r="17" spans="1:5" ht="16.5" customHeight="1" x14ac:dyDescent="0.3">
      <c r="A17" s="307" t="s">
        <v>31</v>
      </c>
      <c r="B17" s="307"/>
      <c r="C17" s="10" t="s">
        <v>32</v>
      </c>
    </row>
    <row r="18" spans="1:5" ht="16.5" customHeight="1" x14ac:dyDescent="0.3">
      <c r="A18" s="307" t="s">
        <v>33</v>
      </c>
      <c r="B18" s="307"/>
      <c r="C18" s="47" t="s">
        <v>34</v>
      </c>
    </row>
    <row r="19" spans="1:5" ht="16.5" customHeight="1" x14ac:dyDescent="0.3">
      <c r="A19" s="307" t="s">
        <v>35</v>
      </c>
      <c r="B19" s="30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302" t="s">
        <v>1</v>
      </c>
      <c r="B21" s="302"/>
      <c r="C21" s="9" t="s">
        <v>36</v>
      </c>
      <c r="D21" s="16"/>
    </row>
    <row r="22" spans="1:5" ht="15.75" customHeight="1" x14ac:dyDescent="0.3">
      <c r="A22" s="306"/>
      <c r="B22" s="306"/>
      <c r="C22" s="7"/>
      <c r="D22" s="306"/>
      <c r="E22" s="306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359.69</v>
      </c>
      <c r="D24" s="37">
        <f t="shared" ref="D24:D43" si="0">(C24-$C$46)/$C$46</f>
        <v>-7.3930165107943292E-3</v>
      </c>
      <c r="E24" s="3"/>
    </row>
    <row r="25" spans="1:5" ht="15.75" customHeight="1" x14ac:dyDescent="0.3">
      <c r="C25" s="45">
        <v>366.39</v>
      </c>
      <c r="D25" s="38">
        <f t="shared" si="0"/>
        <v>1.1096423811087476E-2</v>
      </c>
      <c r="E25" s="3"/>
    </row>
    <row r="26" spans="1:5" ht="15.75" customHeight="1" x14ac:dyDescent="0.3">
      <c r="C26" s="45">
        <v>364.24</v>
      </c>
      <c r="D26" s="38">
        <f t="shared" si="0"/>
        <v>5.1632452003344126E-3</v>
      </c>
      <c r="E26" s="3"/>
    </row>
    <row r="27" spans="1:5" ht="15.75" customHeight="1" x14ac:dyDescent="0.3">
      <c r="C27" s="45">
        <v>356.02</v>
      </c>
      <c r="D27" s="38">
        <f t="shared" si="0"/>
        <v>-1.7520814418452036E-2</v>
      </c>
      <c r="E27" s="3"/>
    </row>
    <row r="28" spans="1:5" ht="15.75" customHeight="1" x14ac:dyDescent="0.3">
      <c r="C28" s="45">
        <v>364.72</v>
      </c>
      <c r="D28" s="38">
        <f t="shared" si="0"/>
        <v>6.4878618204095798E-3</v>
      </c>
      <c r="E28" s="3"/>
    </row>
    <row r="29" spans="1:5" ht="15.75" customHeight="1" x14ac:dyDescent="0.3">
      <c r="C29" s="45">
        <v>363.66</v>
      </c>
      <c r="D29" s="38">
        <f t="shared" si="0"/>
        <v>3.5626667844103573E-3</v>
      </c>
      <c r="E29" s="3"/>
    </row>
    <row r="30" spans="1:5" ht="15.75" customHeight="1" x14ac:dyDescent="0.3">
      <c r="C30" s="45">
        <v>357.11</v>
      </c>
      <c r="D30" s="38">
        <f t="shared" si="0"/>
        <v>-1.4512830843698038E-2</v>
      </c>
      <c r="E30" s="3"/>
    </row>
    <row r="31" spans="1:5" ht="15.75" customHeight="1" x14ac:dyDescent="0.3">
      <c r="C31" s="45">
        <v>359.9</v>
      </c>
      <c r="D31" s="38">
        <f t="shared" si="0"/>
        <v>-6.8134967395115219E-3</v>
      </c>
      <c r="E31" s="3"/>
    </row>
    <row r="32" spans="1:5" ht="15.75" customHeight="1" x14ac:dyDescent="0.3">
      <c r="C32" s="45">
        <v>367.63</v>
      </c>
      <c r="D32" s="38">
        <f t="shared" si="0"/>
        <v>1.4518350079614887E-2</v>
      </c>
      <c r="E32" s="3"/>
    </row>
    <row r="33" spans="1:7" ht="15.75" customHeight="1" x14ac:dyDescent="0.3">
      <c r="C33" s="45">
        <v>368.62</v>
      </c>
      <c r="D33" s="38">
        <f t="shared" si="0"/>
        <v>1.7250371858519839E-2</v>
      </c>
      <c r="E33" s="3"/>
    </row>
    <row r="34" spans="1:7" ht="15.75" customHeight="1" x14ac:dyDescent="0.3">
      <c r="C34" s="45">
        <v>361.14</v>
      </c>
      <c r="D34" s="38">
        <f t="shared" si="0"/>
        <v>-3.391570470984112E-3</v>
      </c>
      <c r="E34" s="3"/>
    </row>
    <row r="35" spans="1:7" ht="15.75" customHeight="1" x14ac:dyDescent="0.3">
      <c r="C35" s="45">
        <v>364.63</v>
      </c>
      <c r="D35" s="38">
        <f t="shared" si="0"/>
        <v>6.2394962041454069E-3</v>
      </c>
      <c r="E35" s="3"/>
    </row>
    <row r="36" spans="1:7" ht="15.75" customHeight="1" x14ac:dyDescent="0.3">
      <c r="C36" s="45">
        <v>360.79</v>
      </c>
      <c r="D36" s="38">
        <f t="shared" si="0"/>
        <v>-4.3574367564554574E-3</v>
      </c>
      <c r="E36" s="3"/>
    </row>
    <row r="37" spans="1:7" ht="15.75" customHeight="1" x14ac:dyDescent="0.3">
      <c r="C37" s="45">
        <v>360.72</v>
      </c>
      <c r="D37" s="38">
        <f t="shared" si="0"/>
        <v>-4.5506100135497265E-3</v>
      </c>
      <c r="E37" s="3"/>
    </row>
    <row r="38" spans="1:7" ht="15.75" customHeight="1" x14ac:dyDescent="0.3">
      <c r="C38" s="45">
        <v>361.41</v>
      </c>
      <c r="D38" s="38">
        <f t="shared" si="0"/>
        <v>-2.6464736221917524E-3</v>
      </c>
      <c r="E38" s="3"/>
    </row>
    <row r="39" spans="1:7" ht="15.75" customHeight="1" x14ac:dyDescent="0.3">
      <c r="C39" s="45">
        <v>371.27</v>
      </c>
      <c r="D39" s="38">
        <f t="shared" si="0"/>
        <v>2.4563359448517817E-2</v>
      </c>
      <c r="E39" s="3"/>
    </row>
    <row r="40" spans="1:7" ht="15.75" customHeight="1" x14ac:dyDescent="0.3">
      <c r="C40" s="45">
        <v>365.48</v>
      </c>
      <c r="D40" s="38">
        <f t="shared" si="0"/>
        <v>8.5851714688618217E-3</v>
      </c>
      <c r="E40" s="3"/>
    </row>
    <row r="41" spans="1:7" ht="15.75" customHeight="1" x14ac:dyDescent="0.3">
      <c r="C41" s="45">
        <v>357.94</v>
      </c>
      <c r="D41" s="38">
        <f t="shared" si="0"/>
        <v>-1.2222347938151525E-2</v>
      </c>
      <c r="E41" s="3"/>
    </row>
    <row r="42" spans="1:7" ht="15.75" customHeight="1" x14ac:dyDescent="0.3">
      <c r="C42" s="45">
        <v>359.26</v>
      </c>
      <c r="D42" s="38">
        <f t="shared" si="0"/>
        <v>-8.5796522329449742E-3</v>
      </c>
      <c r="E42" s="3"/>
    </row>
    <row r="43" spans="1:7" ht="16.5" customHeight="1" x14ac:dyDescent="0.3">
      <c r="C43" s="46">
        <v>356.76</v>
      </c>
      <c r="D43" s="39">
        <f t="shared" si="0"/>
        <v>-1.5478697129169539E-2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7247.38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362.36900000000003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300">
        <f>C46</f>
        <v>362.36900000000003</v>
      </c>
      <c r="C49" s="43">
        <f>-IF(C46&lt;=80,10%,IF(C46&lt;250,7.5%,5%))</f>
        <v>-0.05</v>
      </c>
      <c r="D49" s="31">
        <f>IF(C46&lt;=80,C46*0.9,IF(C46&lt;250,C46*0.925,C46*0.95))</f>
        <v>344.25055000000003</v>
      </c>
    </row>
    <row r="50" spans="1:6" ht="17.25" customHeight="1" x14ac:dyDescent="0.3">
      <c r="B50" s="301"/>
      <c r="C50" s="44">
        <f>IF(C46&lt;=80, 10%, IF(C46&lt;250, 7.5%, 5%))</f>
        <v>0.05</v>
      </c>
      <c r="D50" s="31">
        <f>IF(C46&lt;=80, C46*1.1, IF(C46&lt;250, C46*1.075, C46*1.05))</f>
        <v>380.48745000000002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18</v>
      </c>
      <c r="C52" s="17"/>
      <c r="D52" s="18" t="s">
        <v>19</v>
      </c>
      <c r="E52" s="19"/>
      <c r="F52" s="18" t="s">
        <v>20</v>
      </c>
    </row>
    <row r="53" spans="1:6" ht="34.5" customHeight="1" x14ac:dyDescent="0.3">
      <c r="A53" s="20" t="s">
        <v>21</v>
      </c>
      <c r="B53" s="21"/>
      <c r="C53" s="22"/>
      <c r="D53" s="21"/>
      <c r="E53" s="11"/>
      <c r="F53" s="23"/>
    </row>
    <row r="54" spans="1:6" ht="34.5" customHeight="1" x14ac:dyDescent="0.3">
      <c r="A54" s="20" t="s">
        <v>22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Nevirapine (2)</vt:lpstr>
      <vt:lpstr>SST</vt:lpstr>
      <vt:lpstr>Uniformity</vt:lpstr>
      <vt:lpstr>'Nevirapine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2016-07-27T16:07:14Z</cp:lastPrinted>
  <dcterms:created xsi:type="dcterms:W3CDTF">2005-07-05T10:19:27Z</dcterms:created>
  <dcterms:modified xsi:type="dcterms:W3CDTF">2016-07-27T16:09:34Z</dcterms:modified>
</cp:coreProperties>
</file>