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330" yWindow="495" windowWidth="19800" windowHeight="7605"/>
  </bookViews>
  <sheets>
    <sheet name="Cefuroxime tablets (2)" sheetId="5" r:id="rId1"/>
    <sheet name="SST (2)" sheetId="3" r:id="rId2"/>
    <sheet name="Uniformity" sheetId="2" r:id="rId3"/>
    <sheet name="Cefuroxime tablets (3)" sheetId="6" r:id="rId4"/>
  </sheets>
  <definedNames>
    <definedName name="_xlnm.Print_Area" localSheetId="2">Uniformity!$A$1:$F$54</definedName>
  </definedNames>
  <calcPr calcId="152511"/>
</workbook>
</file>

<file path=xl/calcChain.xml><?xml version="1.0" encoding="utf-8"?>
<calcChain xmlns="http://schemas.openxmlformats.org/spreadsheetml/2006/main">
  <c r="B30" i="6" l="1"/>
  <c r="B45" i="6"/>
  <c r="F62" i="5" l="1"/>
  <c r="F61" i="5"/>
  <c r="F60" i="5"/>
  <c r="C120" i="6" l="1"/>
  <c r="B116" i="6"/>
  <c r="D101" i="6"/>
  <c r="D100" i="6"/>
  <c r="B98" i="6"/>
  <c r="D97" i="6"/>
  <c r="F95" i="6"/>
  <c r="D95" i="6"/>
  <c r="G94" i="6"/>
  <c r="E94" i="6"/>
  <c r="B87" i="6"/>
  <c r="F97" i="6" s="1"/>
  <c r="B83" i="6"/>
  <c r="B80" i="6"/>
  <c r="B79" i="6"/>
  <c r="C76" i="6"/>
  <c r="H71" i="6"/>
  <c r="G71" i="6"/>
  <c r="H67" i="6"/>
  <c r="G67" i="6"/>
  <c r="H63" i="6"/>
  <c r="G63" i="6"/>
  <c r="H62" i="6"/>
  <c r="G62" i="6"/>
  <c r="H61" i="6"/>
  <c r="G61" i="6"/>
  <c r="H60" i="6"/>
  <c r="G60" i="6"/>
  <c r="C56" i="6"/>
  <c r="B55" i="6"/>
  <c r="D48" i="6"/>
  <c r="F42" i="6"/>
  <c r="G41" i="6"/>
  <c r="E41" i="6"/>
  <c r="D42" i="6"/>
  <c r="B34" i="6"/>
  <c r="D44" i="6" s="1"/>
  <c r="F70" i="5"/>
  <c r="F69" i="5"/>
  <c r="F68" i="5"/>
  <c r="F66" i="5"/>
  <c r="F65" i="5"/>
  <c r="F64" i="5"/>
  <c r="C120" i="5"/>
  <c r="B116" i="5"/>
  <c r="D100" i="5" s="1"/>
  <c r="B98" i="5"/>
  <c r="F95" i="5"/>
  <c r="D95" i="5"/>
  <c r="I92" i="5" s="1"/>
  <c r="G94" i="5"/>
  <c r="E94" i="5"/>
  <c r="B87" i="5"/>
  <c r="F97" i="5" s="1"/>
  <c r="B81" i="5"/>
  <c r="B83" i="5" s="1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G41" i="5"/>
  <c r="E41" i="5"/>
  <c r="D42" i="5"/>
  <c r="B34" i="5"/>
  <c r="D44" i="5" s="1"/>
  <c r="B30" i="5"/>
  <c r="B53" i="3"/>
  <c r="E51" i="3"/>
  <c r="D51" i="3"/>
  <c r="C51" i="3"/>
  <c r="B51" i="3"/>
  <c r="B52" i="3" s="1"/>
  <c r="B32" i="3"/>
  <c r="B31" i="3"/>
  <c r="E30" i="3"/>
  <c r="C30" i="3"/>
  <c r="B30" i="3"/>
  <c r="B21" i="3"/>
  <c r="F44" i="6" l="1"/>
  <c r="F45" i="6" s="1"/>
  <c r="D102" i="6"/>
  <c r="D45" i="5"/>
  <c r="F44" i="5"/>
  <c r="F45" i="5" s="1"/>
  <c r="G39" i="5" s="1"/>
  <c r="D45" i="6"/>
  <c r="E40" i="6" s="1"/>
  <c r="I92" i="6"/>
  <c r="I39" i="5"/>
  <c r="I39" i="6"/>
  <c r="D49" i="6"/>
  <c r="D98" i="6"/>
  <c r="E91" i="6" s="1"/>
  <c r="F98" i="6"/>
  <c r="G92" i="6" s="1"/>
  <c r="D101" i="5"/>
  <c r="D102" i="5" s="1"/>
  <c r="F98" i="5"/>
  <c r="F99" i="5" s="1"/>
  <c r="G40" i="5"/>
  <c r="D49" i="5"/>
  <c r="E38" i="5"/>
  <c r="D97" i="5"/>
  <c r="D98" i="5" s="1"/>
  <c r="D99" i="5" s="1"/>
  <c r="D46" i="6" l="1"/>
  <c r="F46" i="6"/>
  <c r="G40" i="6"/>
  <c r="G39" i="6"/>
  <c r="G38" i="6"/>
  <c r="E38" i="6"/>
  <c r="E39" i="6"/>
  <c r="E42" i="6" s="1"/>
  <c r="G42" i="5"/>
  <c r="F46" i="5"/>
  <c r="G38" i="5"/>
  <c r="D46" i="5"/>
  <c r="E39" i="5"/>
  <c r="E42" i="5" s="1"/>
  <c r="E40" i="5"/>
  <c r="G91" i="6"/>
  <c r="G93" i="6"/>
  <c r="F99" i="6"/>
  <c r="E93" i="6"/>
  <c r="D99" i="6"/>
  <c r="E92" i="6"/>
  <c r="G42" i="6"/>
  <c r="E92" i="5"/>
  <c r="E91" i="5"/>
  <c r="G93" i="5"/>
  <c r="E93" i="5"/>
  <c r="D50" i="5"/>
  <c r="G92" i="5"/>
  <c r="G91" i="5"/>
  <c r="D52" i="6" l="1"/>
  <c r="E95" i="6"/>
  <c r="D50" i="6"/>
  <c r="D52" i="5"/>
  <c r="D105" i="6"/>
  <c r="D103" i="6"/>
  <c r="G95" i="6"/>
  <c r="D51" i="6"/>
  <c r="G95" i="5"/>
  <c r="D51" i="5"/>
  <c r="E95" i="5"/>
  <c r="D105" i="5"/>
  <c r="D103" i="5"/>
  <c r="E108" i="6" l="1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6" l="1"/>
  <c r="E116" i="6" s="1"/>
  <c r="E117" i="6"/>
  <c r="F108" i="6"/>
  <c r="E115" i="5"/>
  <c r="E116" i="5" s="1"/>
  <c r="E117" i="5"/>
  <c r="F108" i="5"/>
  <c r="F117" i="6" l="1"/>
  <c r="F115" i="6"/>
  <c r="F117" i="5"/>
  <c r="F115" i="5"/>
  <c r="G120" i="6" l="1"/>
  <c r="F116" i="6"/>
  <c r="G120" i="5"/>
  <c r="F116" i="5"/>
  <c r="C46" i="2" l="1"/>
  <c r="C45" i="2"/>
  <c r="C19" i="2"/>
  <c r="D50" i="2" l="1"/>
  <c r="B57" i="6"/>
  <c r="B57" i="5"/>
  <c r="D37" i="2"/>
  <c r="D25" i="2"/>
  <c r="D41" i="2"/>
  <c r="D33" i="2"/>
  <c r="D29" i="2"/>
  <c r="D30" i="2"/>
  <c r="B49" i="2"/>
  <c r="D26" i="2"/>
  <c r="D34" i="2"/>
  <c r="D38" i="2"/>
  <c r="D42" i="2"/>
  <c r="D27" i="2"/>
  <c r="D31" i="2"/>
  <c r="D35" i="2"/>
  <c r="D39" i="2"/>
  <c r="D43" i="2"/>
  <c r="D49" i="2"/>
  <c r="D24" i="2"/>
  <c r="D28" i="2"/>
  <c r="D32" i="2"/>
  <c r="D36" i="2"/>
  <c r="D40" i="2"/>
  <c r="C49" i="2"/>
  <c r="C50" i="2"/>
  <c r="B69" i="5" l="1"/>
  <c r="G60" i="5"/>
  <c r="G68" i="5"/>
  <c r="H68" i="5" s="1"/>
  <c r="G64" i="5"/>
  <c r="H64" i="5" s="1"/>
  <c r="G61" i="5"/>
  <c r="H61" i="5" s="1"/>
  <c r="G69" i="5"/>
  <c r="H69" i="5" s="1"/>
  <c r="G70" i="5"/>
  <c r="H70" i="5" s="1"/>
  <c r="G65" i="5"/>
  <c r="H65" i="5" s="1"/>
  <c r="G66" i="5"/>
  <c r="H66" i="5" s="1"/>
  <c r="G62" i="5"/>
  <c r="H62" i="5" s="1"/>
  <c r="G64" i="6"/>
  <c r="G65" i="6"/>
  <c r="H65" i="6" s="1"/>
  <c r="G69" i="6"/>
  <c r="H69" i="6" s="1"/>
  <c r="G70" i="6"/>
  <c r="H70" i="6" s="1"/>
  <c r="G68" i="6"/>
  <c r="H68" i="6" s="1"/>
  <c r="G66" i="6"/>
  <c r="H66" i="6" s="1"/>
  <c r="H60" i="5" l="1"/>
  <c r="G74" i="5"/>
  <c r="G72" i="5"/>
  <c r="G73" i="5" s="1"/>
  <c r="G74" i="6"/>
  <c r="H64" i="6"/>
  <c r="G72" i="6"/>
  <c r="G73" i="6" s="1"/>
  <c r="H72" i="6" l="1"/>
  <c r="H74" i="6"/>
  <c r="H74" i="5"/>
  <c r="H72" i="5"/>
  <c r="G76" i="5" l="1"/>
  <c r="H73" i="5"/>
  <c r="G76" i="6"/>
  <c r="H73" i="6"/>
</calcChain>
</file>

<file path=xl/sharedStrings.xml><?xml version="1.0" encoding="utf-8"?>
<sst xmlns="http://schemas.openxmlformats.org/spreadsheetml/2006/main" count="393" uniqueCount="130">
  <si>
    <t>HPLC System Suitability Report</t>
  </si>
  <si>
    <t>Analysis Data</t>
  </si>
  <si>
    <t>Assay</t>
  </si>
  <si>
    <t>Sample(s)</t>
  </si>
  <si>
    <t>Reference Substance:</t>
  </si>
  <si>
    <t>MYDAWA CEFUROXIME AXETIL TABLETS USP 500 MG</t>
  </si>
  <si>
    <t>% age Purity:</t>
  </si>
  <si>
    <t>NDQD201607012</t>
  </si>
  <si>
    <t>Weight (mg):</t>
  </si>
  <si>
    <t xml:space="preserve">Cefuroxime Axetil </t>
  </si>
  <si>
    <t>Standard Conc (mg/mL):</t>
  </si>
  <si>
    <t>Each tablet contains Cefuroxime axetil USP 500 mg</t>
  </si>
  <si>
    <t>2016-07-06 07:11:26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</si>
  <si>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</si>
  <si>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</si>
  <si>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</si>
  <si>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</si>
  <si>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</si>
  <si>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</si>
  <si>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</si>
  <si>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</si>
  <si>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</si>
  <si>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</si>
  <si>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</si>
  <si>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</si>
  <si>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</si>
  <si>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</si>
  <si>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</si>
  <si>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</si>
  <si>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</si>
  <si>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</si>
  <si>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</si>
  <si>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</si>
  <si>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</si>
  <si>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</si>
  <si>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</si>
  <si>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</si>
  <si>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</si>
  <si>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</si>
  <si>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</si>
  <si>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</si>
  <si>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</si>
  <si>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</si>
  <si>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</si>
  <si>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MYDAWA CEFUROXIME AXETIL TABLETS USP 2500 MG</t>
  </si>
  <si>
    <t>ISOMER A</t>
  </si>
  <si>
    <t>ISOMER B</t>
  </si>
  <si>
    <t>National Quality Control Laboratory</t>
  </si>
  <si>
    <t>Laboratory Data Calculation Spreadsheet</t>
  </si>
  <si>
    <t>Analysis Report</t>
  </si>
  <si>
    <t>Each tablet contains Cefuroxime axetil USP 250 mg</t>
  </si>
  <si>
    <t xml:space="preserve">CEFUROXIME AXETIL </t>
  </si>
  <si>
    <t>Code:</t>
  </si>
  <si>
    <t>C66-1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</si>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</sst>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1" fillId="2" borderId="0"/>
    <xf numFmtId="0" fontId="11" fillId="2" borderId="0"/>
  </cellStyleXfs>
  <cellXfs count="31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8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/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2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3" xfId="1" applyFont="1" applyFill="1" applyBorder="1" applyAlignment="1" applyProtection="1">
      <alignment horizontal="center"/>
      <protection locked="0"/>
    </xf>
    <xf numFmtId="2" fontId="6" fillId="3" borderId="3" xfId="1" applyNumberFormat="1" applyFont="1" applyFill="1" applyBorder="1" applyAlignment="1" applyProtection="1">
      <alignment horizontal="center"/>
      <protection locked="0"/>
    </xf>
    <xf numFmtId="2" fontId="6" fillId="3" borderId="4" xfId="1" applyNumberFormat="1" applyFont="1" applyFill="1" applyBorder="1" applyAlignment="1" applyProtection="1">
      <alignment horizontal="center"/>
      <protection locked="0"/>
    </xf>
    <xf numFmtId="0" fontId="6" fillId="3" borderId="5" xfId="1" applyFont="1" applyFill="1" applyBorder="1" applyAlignment="1" applyProtection="1">
      <alignment horizontal="center"/>
      <protection locked="0"/>
    </xf>
    <xf numFmtId="2" fontId="6" fillId="3" borderId="5" xfId="1" applyNumberFormat="1" applyFont="1" applyFill="1" applyBorder="1" applyAlignment="1" applyProtection="1">
      <alignment horizontal="center"/>
      <protection locked="0"/>
    </xf>
    <xf numFmtId="0" fontId="5" fillId="2" borderId="4" xfId="1" applyFont="1" applyFill="1" applyBorder="1"/>
    <xf numFmtId="1" fontId="4" fillId="4" borderId="2" xfId="1" applyNumberFormat="1" applyFont="1" applyFill="1" applyBorder="1" applyAlignment="1">
      <alignment horizontal="center"/>
    </xf>
    <xf numFmtId="1" fontId="4" fillId="4" borderId="1" xfId="1" applyNumberFormat="1" applyFont="1" applyFill="1" applyBorder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5" fillId="2" borderId="3" xfId="1" applyFont="1" applyFill="1" applyBorder="1"/>
    <xf numFmtId="10" fontId="4" fillId="5" borderId="1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5" fillId="2" borderId="6" xfId="1" applyFont="1" applyFill="1" applyBorder="1"/>
    <xf numFmtId="0" fontId="5" fillId="2" borderId="5" xfId="1" applyFont="1" applyFill="1" applyBorder="1"/>
    <xf numFmtId="0" fontId="4" fillId="4" borderId="1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5" fillId="2" borderId="7" xfId="1" applyFont="1" applyFill="1" applyBorder="1"/>
    <xf numFmtId="0" fontId="5" fillId="2" borderId="8" xfId="1" applyFont="1" applyFill="1" applyBorder="1"/>
    <xf numFmtId="0" fontId="5" fillId="2" borderId="0" xfId="1" applyFont="1" applyFill="1" applyAlignment="1" applyProtection="1">
      <alignment horizontal="left"/>
      <protection locked="0"/>
    </xf>
    <xf numFmtId="0" fontId="5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4" fillId="2" borderId="0" xfId="2" applyFont="1" applyFill="1"/>
    <xf numFmtId="0" fontId="11" fillId="2" borderId="0" xfId="2" applyFill="1"/>
    <xf numFmtId="0" fontId="17" fillId="2" borderId="0" xfId="2" applyFont="1" applyFill="1"/>
    <xf numFmtId="0" fontId="18" fillId="2" borderId="0" xfId="2" applyFont="1" applyFill="1" applyAlignment="1" applyProtection="1">
      <alignment horizontal="right"/>
      <protection locked="0"/>
    </xf>
    <xf numFmtId="0" fontId="18" fillId="2" borderId="0" xfId="2" applyFont="1" applyFill="1" applyAlignment="1" applyProtection="1">
      <alignment horizontal="left"/>
      <protection locked="0"/>
    </xf>
    <xf numFmtId="0" fontId="19" fillId="2" borderId="0" xfId="2" applyFont="1" applyFill="1"/>
    <xf numFmtId="0" fontId="19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Protection="1">
      <protection locked="0"/>
    </xf>
    <xf numFmtId="168" fontId="19" fillId="3" borderId="0" xfId="2" applyNumberFormat="1" applyFont="1" applyFill="1" applyAlignment="1" applyProtection="1">
      <alignment horizontal="center"/>
      <protection locked="0"/>
    </xf>
    <xf numFmtId="169" fontId="14" fillId="2" borderId="0" xfId="2" applyNumberFormat="1" applyFont="1" applyFill="1" applyAlignment="1">
      <alignment horizontal="left"/>
    </xf>
    <xf numFmtId="0" fontId="10" fillId="2" borderId="0" xfId="2" applyFont="1" applyFill="1" applyAlignment="1">
      <alignment horizontal="left"/>
    </xf>
    <xf numFmtId="0" fontId="17" fillId="2" borderId="0" xfId="2" applyFont="1" applyFill="1" applyAlignment="1">
      <alignment horizontal="right"/>
    </xf>
    <xf numFmtId="0" fontId="14" fillId="2" borderId="0" xfId="2" applyFont="1" applyFill="1" applyAlignment="1">
      <alignment horizontal="right"/>
    </xf>
    <xf numFmtId="0" fontId="18" fillId="3" borderId="0" xfId="2" applyFont="1" applyFill="1" applyAlignment="1" applyProtection="1">
      <alignment horizontal="center"/>
      <protection locked="0"/>
    </xf>
    <xf numFmtId="0" fontId="19" fillId="3" borderId="0" xfId="2" applyFont="1" applyFill="1" applyAlignment="1" applyProtection="1">
      <alignment horizontal="center"/>
      <protection locked="0"/>
    </xf>
    <xf numFmtId="0" fontId="4" fillId="2" borderId="1" xfId="2" applyFont="1" applyFill="1" applyBorder="1" applyAlignment="1">
      <alignment horizontal="center"/>
    </xf>
    <xf numFmtId="0" fontId="20" fillId="2" borderId="0" xfId="2" applyFont="1" applyFill="1" applyAlignment="1">
      <alignment vertical="center" wrapText="1"/>
    </xf>
    <xf numFmtId="0" fontId="17" fillId="2" borderId="0" xfId="2" applyFont="1" applyFill="1" applyAlignment="1">
      <alignment horizontal="center"/>
    </xf>
    <xf numFmtId="0" fontId="21" fillId="2" borderId="0" xfId="2" applyFont="1" applyFill="1"/>
    <xf numFmtId="0" fontId="22" fillId="2" borderId="0" xfId="2" applyFont="1" applyFill="1"/>
    <xf numFmtId="2" fontId="18" fillId="3" borderId="0" xfId="2" applyNumberFormat="1" applyFont="1" applyFill="1" applyAlignment="1" applyProtection="1">
      <alignment horizontal="center"/>
      <protection locked="0"/>
    </xf>
    <xf numFmtId="0" fontId="17" fillId="2" borderId="0" xfId="2" applyFont="1" applyFill="1" applyAlignment="1">
      <alignment vertical="center" wrapText="1"/>
    </xf>
    <xf numFmtId="0" fontId="23" fillId="2" borderId="0" xfId="2" applyFont="1" applyFill="1"/>
    <xf numFmtId="2" fontId="17" fillId="2" borderId="0" xfId="2" applyNumberFormat="1" applyFont="1" applyFill="1" applyAlignment="1">
      <alignment horizontal="center"/>
    </xf>
    <xf numFmtId="0" fontId="15" fillId="2" borderId="0" xfId="2" applyFont="1" applyFill="1" applyAlignment="1">
      <alignment horizontal="left" vertical="center" wrapText="1"/>
    </xf>
    <xf numFmtId="170" fontId="17" fillId="2" borderId="0" xfId="2" applyNumberFormat="1" applyFont="1" applyFill="1" applyAlignment="1">
      <alignment horizontal="center"/>
    </xf>
    <xf numFmtId="0" fontId="14" fillId="2" borderId="21" xfId="2" applyFont="1" applyFill="1" applyBorder="1" applyAlignment="1">
      <alignment horizontal="right"/>
    </xf>
    <xf numFmtId="0" fontId="18" fillId="3" borderId="22" xfId="2" applyFont="1" applyFill="1" applyBorder="1" applyAlignment="1" applyProtection="1">
      <alignment horizontal="center"/>
      <protection locked="0"/>
    </xf>
    <xf numFmtId="0" fontId="14" fillId="2" borderId="26" xfId="2" applyFont="1" applyFill="1" applyBorder="1" applyAlignment="1">
      <alignment horizontal="right"/>
    </xf>
    <xf numFmtId="0" fontId="18" fillId="3" borderId="27" xfId="2" applyFont="1" applyFill="1" applyBorder="1" applyAlignment="1" applyProtection="1">
      <alignment horizontal="center"/>
      <protection locked="0"/>
    </xf>
    <xf numFmtId="0" fontId="17" fillId="2" borderId="22" xfId="2" applyFont="1" applyFill="1" applyBorder="1" applyAlignment="1">
      <alignment horizontal="center"/>
    </xf>
    <xf numFmtId="0" fontId="17" fillId="2" borderId="28" xfId="2" applyFont="1" applyFill="1" applyBorder="1" applyAlignment="1">
      <alignment horizontal="center"/>
    </xf>
    <xf numFmtId="0" fontId="17" fillId="2" borderId="29" xfId="2" applyFont="1" applyFill="1" applyBorder="1" applyAlignment="1">
      <alignment horizontal="center"/>
    </xf>
    <xf numFmtId="0" fontId="17" fillId="2" borderId="30" xfId="2" applyFont="1" applyFill="1" applyBorder="1" applyAlignment="1">
      <alignment horizontal="center"/>
    </xf>
    <xf numFmtId="0" fontId="17" fillId="2" borderId="12" xfId="2" applyFont="1" applyFill="1" applyBorder="1" applyAlignment="1">
      <alignment horizontal="center"/>
    </xf>
    <xf numFmtId="0" fontId="14" fillId="2" borderId="31" xfId="2" applyFont="1" applyFill="1" applyBorder="1" applyAlignment="1">
      <alignment horizontal="center"/>
    </xf>
    <xf numFmtId="0" fontId="18" fillId="3" borderId="32" xfId="2" applyFont="1" applyFill="1" applyBorder="1" applyAlignment="1" applyProtection="1">
      <alignment horizontal="center"/>
      <protection locked="0"/>
    </xf>
    <xf numFmtId="171" fontId="14" fillId="2" borderId="29" xfId="2" applyNumberFormat="1" applyFont="1" applyFill="1" applyBorder="1" applyAlignment="1">
      <alignment horizontal="center"/>
    </xf>
    <xf numFmtId="171" fontId="14" fillId="2" borderId="33" xfId="2" applyNumberFormat="1" applyFont="1" applyFill="1" applyBorder="1" applyAlignment="1">
      <alignment horizontal="center"/>
    </xf>
    <xf numFmtId="0" fontId="23" fillId="2" borderId="13" xfId="2" applyFont="1" applyFill="1" applyBorder="1"/>
    <xf numFmtId="0" fontId="14" fillId="2" borderId="27" xfId="2" applyFont="1" applyFill="1" applyBorder="1" applyAlignment="1">
      <alignment horizontal="center"/>
    </xf>
    <xf numFmtId="0" fontId="18" fillId="3" borderId="26" xfId="2" applyFont="1" applyFill="1" applyBorder="1" applyAlignment="1" applyProtection="1">
      <alignment horizontal="center"/>
      <protection locked="0"/>
    </xf>
    <xf numFmtId="171" fontId="14" fillId="2" borderId="34" xfId="2" applyNumberFormat="1" applyFont="1" applyFill="1" applyBorder="1" applyAlignment="1">
      <alignment horizontal="center"/>
    </xf>
    <xf numFmtId="171" fontId="14" fillId="2" borderId="35" xfId="2" applyNumberFormat="1" applyFont="1" applyFill="1" applyBorder="1" applyAlignment="1">
      <alignment horizontal="center"/>
    </xf>
    <xf numFmtId="0" fontId="14" fillId="2" borderId="36" xfId="2" applyFont="1" applyFill="1" applyBorder="1" applyAlignment="1">
      <alignment horizontal="center"/>
    </xf>
    <xf numFmtId="0" fontId="18" fillId="3" borderId="37" xfId="2" applyFont="1" applyFill="1" applyBorder="1" applyAlignment="1" applyProtection="1">
      <alignment horizontal="center"/>
      <protection locked="0"/>
    </xf>
    <xf numFmtId="171" fontId="14" fillId="2" borderId="38" xfId="2" applyNumberFormat="1" applyFont="1" applyFill="1" applyBorder="1" applyAlignment="1">
      <alignment horizontal="center"/>
    </xf>
    <xf numFmtId="171" fontId="14" fillId="2" borderId="39" xfId="2" applyNumberFormat="1" applyFont="1" applyFill="1" applyBorder="1" applyAlignment="1">
      <alignment horizontal="center"/>
    </xf>
    <xf numFmtId="0" fontId="14" fillId="2" borderId="15" xfId="2" applyFont="1" applyFill="1" applyBorder="1"/>
    <xf numFmtId="0" fontId="14" fillId="2" borderId="27" xfId="2" applyFont="1" applyFill="1" applyBorder="1" applyAlignment="1">
      <alignment horizontal="right"/>
    </xf>
    <xf numFmtId="1" fontId="17" fillId="6" borderId="40" xfId="2" applyNumberFormat="1" applyFont="1" applyFill="1" applyBorder="1" applyAlignment="1">
      <alignment horizontal="center"/>
    </xf>
    <xf numFmtId="171" fontId="17" fillId="6" borderId="41" xfId="2" applyNumberFormat="1" applyFont="1" applyFill="1" applyBorder="1" applyAlignment="1">
      <alignment horizontal="center"/>
    </xf>
    <xf numFmtId="171" fontId="17" fillId="6" borderId="42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4" fillId="2" borderId="24" xfId="2" applyFont="1" applyFill="1" applyBorder="1" applyAlignment="1">
      <alignment horizontal="right"/>
    </xf>
    <xf numFmtId="0" fontId="18" fillId="3" borderId="16" xfId="2" applyFont="1" applyFill="1" applyBorder="1" applyAlignment="1" applyProtection="1">
      <alignment horizontal="center"/>
      <protection locked="0"/>
    </xf>
    <xf numFmtId="0" fontId="14" fillId="2" borderId="11" xfId="2" applyFont="1" applyFill="1" applyBorder="1" applyAlignment="1">
      <alignment horizontal="right"/>
    </xf>
    <xf numFmtId="2" fontId="14" fillId="6" borderId="43" xfId="2" applyNumberFormat="1" applyFont="1" applyFill="1" applyBorder="1" applyAlignment="1">
      <alignment horizontal="center"/>
    </xf>
    <xf numFmtId="0" fontId="14" fillId="2" borderId="0" xfId="2" applyFont="1" applyFill="1" applyAlignment="1">
      <alignment horizontal="center"/>
    </xf>
    <xf numFmtId="2" fontId="14" fillId="7" borderId="43" xfId="2" applyNumberFormat="1" applyFont="1" applyFill="1" applyBorder="1" applyAlignment="1">
      <alignment horizontal="center"/>
    </xf>
    <xf numFmtId="2" fontId="14" fillId="2" borderId="0" xfId="2" applyNumberFormat="1" applyFont="1" applyFill="1" applyAlignment="1">
      <alignment horizontal="center"/>
    </xf>
    <xf numFmtId="166" fontId="14" fillId="6" borderId="43" xfId="2" applyNumberFormat="1" applyFont="1" applyFill="1" applyBorder="1" applyAlignment="1">
      <alignment horizontal="center"/>
    </xf>
    <xf numFmtId="166" fontId="14" fillId="2" borderId="0" xfId="2" applyNumberFormat="1" applyFont="1" applyFill="1" applyAlignment="1">
      <alignment horizontal="center"/>
    </xf>
    <xf numFmtId="166" fontId="14" fillId="6" borderId="17" xfId="2" applyNumberFormat="1" applyFont="1" applyFill="1" applyBorder="1" applyAlignment="1">
      <alignment horizontal="center"/>
    </xf>
    <xf numFmtId="0" fontId="14" fillId="2" borderId="46" xfId="2" applyFont="1" applyFill="1" applyBorder="1" applyAlignment="1">
      <alignment horizontal="right"/>
    </xf>
    <xf numFmtId="166" fontId="18" fillId="3" borderId="43" xfId="2" applyNumberFormat="1" applyFont="1" applyFill="1" applyBorder="1" applyAlignment="1" applyProtection="1">
      <alignment horizontal="center"/>
      <protection locked="0"/>
    </xf>
    <xf numFmtId="166" fontId="14" fillId="2" borderId="0" xfId="2" applyNumberFormat="1" applyFont="1" applyFill="1"/>
    <xf numFmtId="0" fontId="14" fillId="2" borderId="32" xfId="2" applyFont="1" applyFill="1" applyBorder="1" applyAlignment="1">
      <alignment horizontal="right"/>
    </xf>
    <xf numFmtId="1" fontId="14" fillId="2" borderId="0" xfId="2" applyNumberFormat="1" applyFont="1" applyFill="1" applyAlignment="1">
      <alignment horizontal="center"/>
    </xf>
    <xf numFmtId="0" fontId="14" fillId="2" borderId="15" xfId="2" applyFont="1" applyFill="1" applyBorder="1" applyAlignment="1">
      <alignment horizontal="right"/>
    </xf>
    <xf numFmtId="2" fontId="14" fillId="6" borderId="15" xfId="2" applyNumberFormat="1" applyFont="1" applyFill="1" applyBorder="1" applyAlignment="1">
      <alignment horizontal="center"/>
    </xf>
    <xf numFmtId="171" fontId="17" fillId="7" borderId="13" xfId="2" applyNumberFormat="1" applyFont="1" applyFill="1" applyBorder="1" applyAlignment="1">
      <alignment horizontal="center"/>
    </xf>
    <xf numFmtId="171" fontId="14" fillId="2" borderId="0" xfId="2" applyNumberFormat="1" applyFont="1" applyFill="1" applyAlignment="1">
      <alignment horizontal="center"/>
    </xf>
    <xf numFmtId="10" fontId="14" fillId="6" borderId="43" xfId="2" applyNumberFormat="1" applyFont="1" applyFill="1" applyBorder="1" applyAlignment="1">
      <alignment horizontal="center"/>
    </xf>
    <xf numFmtId="0" fontId="14" fillId="2" borderId="44" xfId="2" applyFont="1" applyFill="1" applyBorder="1" applyAlignment="1">
      <alignment horizontal="right"/>
    </xf>
    <xf numFmtId="0" fontId="14" fillId="7" borderId="15" xfId="2" applyFont="1" applyFill="1" applyBorder="1" applyAlignment="1">
      <alignment horizontal="center"/>
    </xf>
    <xf numFmtId="0" fontId="10" fillId="2" borderId="0" xfId="2" applyFont="1" applyFill="1"/>
    <xf numFmtId="0" fontId="17" fillId="2" borderId="0" xfId="2" applyFont="1" applyFill="1" applyAlignment="1">
      <alignment horizontal="left"/>
    </xf>
    <xf numFmtId="0" fontId="14" fillId="2" borderId="0" xfId="2" applyFont="1" applyFill="1" applyAlignment="1">
      <alignment horizontal="left"/>
    </xf>
    <xf numFmtId="172" fontId="18" fillId="3" borderId="0" xfId="2" applyNumberFormat="1" applyFont="1" applyFill="1" applyAlignment="1" applyProtection="1">
      <alignment horizontal="center"/>
      <protection locked="0"/>
    </xf>
    <xf numFmtId="166" fontId="17" fillId="2" borderId="0" xfId="2" applyNumberFormat="1" applyFont="1" applyFill="1" applyAlignment="1" applyProtection="1">
      <alignment horizontal="center"/>
      <protection locked="0"/>
    </xf>
    <xf numFmtId="2" fontId="17" fillId="2" borderId="13" xfId="2" applyNumberFormat="1" applyFont="1" applyFill="1" applyBorder="1" applyAlignment="1">
      <alignment horizontal="center"/>
    </xf>
    <xf numFmtId="0" fontId="17" fillId="2" borderId="13" xfId="2" applyFont="1" applyFill="1" applyBorder="1" applyAlignment="1">
      <alignment horizontal="center"/>
    </xf>
    <xf numFmtId="0" fontId="14" fillId="2" borderId="13" xfId="2" applyFont="1" applyFill="1" applyBorder="1" applyAlignment="1">
      <alignment horizontal="center"/>
    </xf>
    <xf numFmtId="0" fontId="18" fillId="3" borderId="21" xfId="2" applyFont="1" applyFill="1" applyBorder="1" applyAlignment="1" applyProtection="1">
      <alignment horizontal="center"/>
      <protection locked="0"/>
    </xf>
    <xf numFmtId="166" fontId="14" fillId="2" borderId="21" xfId="2" applyNumberFormat="1" applyFont="1" applyFill="1" applyBorder="1" applyAlignment="1">
      <alignment horizontal="center"/>
    </xf>
    <xf numFmtId="10" fontId="14" fillId="2" borderId="13" xfId="2" applyNumberFormat="1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/>
    </xf>
    <xf numFmtId="166" fontId="14" fillId="2" borderId="26" xfId="2" applyNumberFormat="1" applyFont="1" applyFill="1" applyBorder="1" applyAlignment="1">
      <alignment horizontal="center"/>
    </xf>
    <xf numFmtId="10" fontId="14" fillId="2" borderId="14" xfId="2" applyNumberFormat="1" applyFont="1" applyFill="1" applyBorder="1" applyAlignment="1">
      <alignment horizontal="center" vertical="center"/>
    </xf>
    <xf numFmtId="1" fontId="18" fillId="3" borderId="26" xfId="2" applyNumberFormat="1" applyFont="1" applyFill="1" applyBorder="1" applyAlignment="1" applyProtection="1">
      <alignment horizontal="center"/>
      <protection locked="0"/>
    </xf>
    <xf numFmtId="0" fontId="14" fillId="2" borderId="15" xfId="2" applyFont="1" applyFill="1" applyBorder="1" applyAlignment="1">
      <alignment horizontal="center"/>
    </xf>
    <xf numFmtId="0" fontId="18" fillId="3" borderId="44" xfId="2" applyFont="1" applyFill="1" applyBorder="1" applyAlignment="1" applyProtection="1">
      <alignment horizontal="center"/>
      <protection locked="0"/>
    </xf>
    <xf numFmtId="166" fontId="14" fillId="2" borderId="13" xfId="2" applyNumberFormat="1" applyFont="1" applyFill="1" applyBorder="1" applyAlignment="1">
      <alignment horizontal="center"/>
    </xf>
    <xf numFmtId="10" fontId="14" fillId="2" borderId="22" xfId="2" applyNumberFormat="1" applyFont="1" applyFill="1" applyBorder="1" applyAlignment="1">
      <alignment horizontal="center" vertical="center"/>
    </xf>
    <xf numFmtId="166" fontId="14" fillId="2" borderId="14" xfId="2" applyNumberFormat="1" applyFont="1" applyFill="1" applyBorder="1" applyAlignment="1">
      <alignment horizontal="center"/>
    </xf>
    <xf numFmtId="10" fontId="14" fillId="2" borderId="27" xfId="2" applyNumberFormat="1" applyFont="1" applyFill="1" applyBorder="1" applyAlignment="1">
      <alignment horizontal="center" vertical="center"/>
    </xf>
    <xf numFmtId="166" fontId="14" fillId="2" borderId="15" xfId="2" applyNumberFormat="1" applyFont="1" applyFill="1" applyBorder="1" applyAlignment="1">
      <alignment horizontal="center"/>
    </xf>
    <xf numFmtId="10" fontId="14" fillId="2" borderId="45" xfId="2" applyNumberFormat="1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/>
    </xf>
    <xf numFmtId="2" fontId="19" fillId="2" borderId="45" xfId="2" applyNumberFormat="1" applyFont="1" applyFill="1" applyBorder="1" applyAlignment="1">
      <alignment horizontal="center"/>
    </xf>
    <xf numFmtId="10" fontId="14" fillId="2" borderId="15" xfId="2" applyNumberFormat="1" applyFont="1" applyFill="1" applyBorder="1" applyAlignment="1">
      <alignment horizontal="center" vertical="center"/>
    </xf>
    <xf numFmtId="0" fontId="14" fillId="2" borderId="47" xfId="2" applyFont="1" applyFill="1" applyBorder="1" applyAlignment="1">
      <alignment horizontal="right"/>
    </xf>
    <xf numFmtId="2" fontId="18" fillId="7" borderId="36" xfId="2" applyNumberFormat="1" applyFont="1" applyFill="1" applyBorder="1" applyAlignment="1">
      <alignment horizontal="center"/>
    </xf>
    <xf numFmtId="10" fontId="18" fillId="7" borderId="36" xfId="2" applyNumberFormat="1" applyFont="1" applyFill="1" applyBorder="1" applyAlignment="1">
      <alignment horizontal="center"/>
    </xf>
    <xf numFmtId="0" fontId="14" fillId="2" borderId="43" xfId="2" applyFont="1" applyFill="1" applyBorder="1" applyAlignment="1">
      <alignment horizontal="right"/>
    </xf>
    <xf numFmtId="10" fontId="18" fillId="6" borderId="48" xfId="2" applyNumberFormat="1" applyFont="1" applyFill="1" applyBorder="1" applyAlignment="1">
      <alignment horizontal="center"/>
    </xf>
    <xf numFmtId="0" fontId="14" fillId="2" borderId="17" xfId="2" applyFont="1" applyFill="1" applyBorder="1" applyAlignment="1">
      <alignment horizontal="right"/>
    </xf>
    <xf numFmtId="0" fontId="18" fillId="7" borderId="49" xfId="2" applyFont="1" applyFill="1" applyBorder="1" applyAlignment="1">
      <alignment horizontal="center"/>
    </xf>
    <xf numFmtId="165" fontId="18" fillId="2" borderId="0" xfId="2" applyNumberFormat="1" applyFont="1" applyFill="1" applyAlignment="1">
      <alignment horizontal="center"/>
    </xf>
    <xf numFmtId="0" fontId="17" fillId="2" borderId="23" xfId="2" applyFont="1" applyFill="1" applyBorder="1" applyAlignment="1">
      <alignment horizontal="center"/>
    </xf>
    <xf numFmtId="0" fontId="17" fillId="2" borderId="24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/>
    </xf>
    <xf numFmtId="0" fontId="17" fillId="2" borderId="33" xfId="2" applyFont="1" applyFill="1" applyBorder="1" applyAlignment="1">
      <alignment horizontal="center"/>
    </xf>
    <xf numFmtId="0" fontId="14" fillId="2" borderId="50" xfId="2" applyFont="1" applyFill="1" applyBorder="1" applyAlignment="1">
      <alignment horizontal="center"/>
    </xf>
    <xf numFmtId="0" fontId="14" fillId="2" borderId="7" xfId="2" applyFont="1" applyFill="1" applyBorder="1" applyAlignment="1">
      <alignment horizontal="center"/>
    </xf>
    <xf numFmtId="171" fontId="18" fillId="3" borderId="37" xfId="2" applyNumberFormat="1" applyFont="1" applyFill="1" applyBorder="1" applyAlignment="1" applyProtection="1">
      <alignment horizontal="center"/>
      <protection locked="0"/>
    </xf>
    <xf numFmtId="1" fontId="17" fillId="6" borderId="51" xfId="2" applyNumberFormat="1" applyFont="1" applyFill="1" applyBorder="1" applyAlignment="1">
      <alignment horizontal="center"/>
    </xf>
    <xf numFmtId="1" fontId="17" fillId="6" borderId="52" xfId="2" applyNumberFormat="1" applyFont="1" applyFill="1" applyBorder="1" applyAlignment="1">
      <alignment horizontal="center"/>
    </xf>
    <xf numFmtId="171" fontId="17" fillId="6" borderId="15" xfId="2" applyNumberFormat="1" applyFont="1" applyFill="1" applyBorder="1" applyAlignment="1">
      <alignment horizontal="center"/>
    </xf>
    <xf numFmtId="0" fontId="14" fillId="2" borderId="53" xfId="2" applyFont="1" applyFill="1" applyBorder="1" applyAlignment="1">
      <alignment horizontal="right"/>
    </xf>
    <xf numFmtId="0" fontId="18" fillId="3" borderId="54" xfId="2" applyFont="1" applyFill="1" applyBorder="1" applyAlignment="1" applyProtection="1">
      <alignment horizontal="center"/>
      <protection locked="0"/>
    </xf>
    <xf numFmtId="0" fontId="14" fillId="2" borderId="28" xfId="2" applyFont="1" applyFill="1" applyBorder="1" applyAlignment="1">
      <alignment horizontal="right"/>
    </xf>
    <xf numFmtId="2" fontId="14" fillId="6" borderId="30" xfId="2" applyNumberFormat="1" applyFont="1" applyFill="1" applyBorder="1" applyAlignment="1">
      <alignment horizontal="center"/>
    </xf>
    <xf numFmtId="2" fontId="14" fillId="7" borderId="30" xfId="2" applyNumberFormat="1" applyFont="1" applyFill="1" applyBorder="1" applyAlignment="1">
      <alignment horizontal="center"/>
    </xf>
    <xf numFmtId="166" fontId="14" fillId="6" borderId="30" xfId="2" applyNumberFormat="1" applyFont="1" applyFill="1" applyBorder="1" applyAlignment="1">
      <alignment horizontal="center"/>
    </xf>
    <xf numFmtId="166" fontId="14" fillId="7" borderId="30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4" fillId="2" borderId="55" xfId="2" applyFont="1" applyFill="1" applyBorder="1" applyAlignment="1">
      <alignment horizontal="right"/>
    </xf>
    <xf numFmtId="2" fontId="14" fillId="7" borderId="33" xfId="2" applyNumberFormat="1" applyFont="1" applyFill="1" applyBorder="1" applyAlignment="1">
      <alignment horizontal="center"/>
    </xf>
    <xf numFmtId="0" fontId="17" fillId="2" borderId="0" xfId="2" applyFont="1" applyFill="1" applyAlignment="1">
      <alignment horizontal="center" wrapText="1"/>
    </xf>
    <xf numFmtId="0" fontId="14" fillId="2" borderId="16" xfId="2" applyFont="1" applyFill="1" applyBorder="1" applyAlignment="1">
      <alignment horizontal="right"/>
    </xf>
    <xf numFmtId="171" fontId="17" fillId="7" borderId="16" xfId="2" applyNumberFormat="1" applyFont="1" applyFill="1" applyBorder="1" applyAlignment="1">
      <alignment horizontal="center"/>
    </xf>
    <xf numFmtId="10" fontId="14" fillId="2" borderId="0" xfId="2" applyNumberFormat="1" applyFont="1" applyFill="1" applyAlignment="1">
      <alignment horizontal="center"/>
    </xf>
    <xf numFmtId="10" fontId="17" fillId="6" borderId="43" xfId="2" applyNumberFormat="1" applyFont="1" applyFill="1" applyBorder="1" applyAlignment="1">
      <alignment horizontal="center"/>
    </xf>
    <xf numFmtId="0" fontId="17" fillId="7" borderId="17" xfId="2" applyFont="1" applyFill="1" applyBorder="1" applyAlignment="1">
      <alignment horizontal="center"/>
    </xf>
    <xf numFmtId="0" fontId="17" fillId="2" borderId="56" xfId="2" applyFont="1" applyFill="1" applyBorder="1" applyAlignment="1">
      <alignment horizontal="center"/>
    </xf>
    <xf numFmtId="0" fontId="17" fillId="2" borderId="57" xfId="2" applyFont="1" applyFill="1" applyBorder="1" applyAlignment="1">
      <alignment horizontal="center"/>
    </xf>
    <xf numFmtId="0" fontId="17" fillId="2" borderId="22" xfId="2" applyFont="1" applyFill="1" applyBorder="1" applyAlignment="1">
      <alignment horizontal="center" wrapText="1"/>
    </xf>
    <xf numFmtId="0" fontId="14" fillId="2" borderId="26" xfId="2" applyFont="1" applyFill="1" applyBorder="1" applyAlignment="1">
      <alignment horizontal="center"/>
    </xf>
    <xf numFmtId="166" fontId="14" fillId="2" borderId="29" xfId="2" applyNumberFormat="1" applyFont="1" applyFill="1" applyBorder="1" applyAlignment="1">
      <alignment horizontal="center"/>
    </xf>
    <xf numFmtId="10" fontId="14" fillId="2" borderId="33" xfId="2" applyNumberFormat="1" applyFont="1" applyFill="1" applyBorder="1" applyAlignment="1">
      <alignment horizontal="center"/>
    </xf>
    <xf numFmtId="166" fontId="14" fillId="2" borderId="34" xfId="2" applyNumberFormat="1" applyFont="1" applyFill="1" applyBorder="1" applyAlignment="1">
      <alignment horizontal="center"/>
    </xf>
    <xf numFmtId="10" fontId="14" fillId="2" borderId="35" xfId="2" applyNumberFormat="1" applyFont="1" applyFill="1" applyBorder="1" applyAlignment="1">
      <alignment horizontal="center"/>
    </xf>
    <xf numFmtId="0" fontId="14" fillId="2" borderId="37" xfId="2" applyFont="1" applyFill="1" applyBorder="1" applyAlignment="1">
      <alignment horizontal="center"/>
    </xf>
    <xf numFmtId="166" fontId="14" fillId="2" borderId="38" xfId="2" applyNumberFormat="1" applyFont="1" applyFill="1" applyBorder="1" applyAlignment="1">
      <alignment horizontal="center"/>
    </xf>
    <xf numFmtId="10" fontId="14" fillId="2" borderId="39" xfId="2" applyNumberFormat="1" applyFont="1" applyFill="1" applyBorder="1" applyAlignment="1">
      <alignment horizontal="center"/>
    </xf>
    <xf numFmtId="2" fontId="14" fillId="2" borderId="27" xfId="2" applyNumberFormat="1" applyFont="1" applyFill="1" applyBorder="1" applyAlignment="1">
      <alignment horizontal="center"/>
    </xf>
    <xf numFmtId="171" fontId="14" fillId="2" borderId="2" xfId="2" applyNumberFormat="1" applyFont="1" applyFill="1" applyBorder="1" applyAlignment="1">
      <alignment horizontal="right"/>
    </xf>
    <xf numFmtId="2" fontId="18" fillId="7" borderId="30" xfId="2" applyNumberFormat="1" applyFont="1" applyFill="1" applyBorder="1" applyAlignment="1">
      <alignment horizontal="center"/>
    </xf>
    <xf numFmtId="10" fontId="18" fillId="7" borderId="30" xfId="2" applyNumberFormat="1" applyFont="1" applyFill="1" applyBorder="1" applyAlignment="1">
      <alignment horizontal="center"/>
    </xf>
    <xf numFmtId="0" fontId="14" fillId="2" borderId="26" xfId="2" applyFont="1" applyFill="1" applyBorder="1"/>
    <xf numFmtId="10" fontId="18" fillId="6" borderId="30" xfId="2" applyNumberFormat="1" applyFont="1" applyFill="1" applyBorder="1" applyAlignment="1">
      <alignment horizontal="center"/>
    </xf>
    <xf numFmtId="0" fontId="14" fillId="2" borderId="44" xfId="2" applyFont="1" applyFill="1" applyBorder="1"/>
    <xf numFmtId="0" fontId="14" fillId="2" borderId="58" xfId="2" applyFont="1" applyFill="1" applyBorder="1" applyAlignment="1">
      <alignment horizontal="right"/>
    </xf>
    <xf numFmtId="0" fontId="18" fillId="7" borderId="17" xfId="2" applyFont="1" applyFill="1" applyBorder="1" applyAlignment="1">
      <alignment horizontal="center"/>
    </xf>
    <xf numFmtId="0" fontId="15" fillId="2" borderId="0" xfId="2" applyFont="1" applyFill="1" applyAlignment="1">
      <alignment horizontal="righ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4" fillId="2" borderId="9" xfId="2" applyFont="1" applyFill="1" applyBorder="1"/>
    <xf numFmtId="0" fontId="14" fillId="2" borderId="10" xfId="2" applyFont="1" applyFill="1" applyBorder="1" applyAlignment="1">
      <alignment horizontal="center"/>
    </xf>
    <xf numFmtId="0" fontId="14" fillId="2" borderId="7" xfId="2" applyFont="1" applyFill="1" applyBorder="1"/>
    <xf numFmtId="0" fontId="17" fillId="2" borderId="11" xfId="2" applyFont="1" applyFill="1" applyBorder="1"/>
    <xf numFmtId="0" fontId="14" fillId="2" borderId="11" xfId="2" applyFont="1" applyFill="1" applyBorder="1"/>
    <xf numFmtId="10" fontId="20" fillId="2" borderId="14" xfId="2" applyNumberFormat="1" applyFont="1" applyFill="1" applyBorder="1" applyAlignment="1">
      <alignment horizontal="center" vertical="center"/>
    </xf>
    <xf numFmtId="0" fontId="15" fillId="2" borderId="21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left" vertical="center" wrapText="1"/>
    </xf>
    <xf numFmtId="0" fontId="15" fillId="2" borderId="44" xfId="2" applyFont="1" applyFill="1" applyBorder="1" applyAlignment="1">
      <alignment horizontal="lef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5" fillId="2" borderId="22" xfId="2" applyFont="1" applyFill="1" applyBorder="1" applyAlignment="1">
      <alignment horizontal="left" vertical="center" wrapText="1"/>
    </xf>
    <xf numFmtId="0" fontId="15" fillId="2" borderId="45" xfId="2" applyFont="1" applyFill="1" applyBorder="1" applyAlignment="1">
      <alignment horizontal="left" vertical="center" wrapText="1"/>
    </xf>
    <xf numFmtId="0" fontId="17" fillId="2" borderId="0" xfId="2" applyFont="1" applyFill="1" applyAlignment="1">
      <alignment horizontal="center"/>
    </xf>
    <xf numFmtId="0" fontId="17" fillId="2" borderId="10" xfId="2" applyFont="1" applyFill="1" applyBorder="1" applyAlignment="1">
      <alignment horizontal="center"/>
    </xf>
    <xf numFmtId="0" fontId="17" fillId="2" borderId="23" xfId="2" applyFont="1" applyFill="1" applyBorder="1" applyAlignment="1">
      <alignment horizontal="center"/>
    </xf>
    <xf numFmtId="0" fontId="17" fillId="2" borderId="25" xfId="2" applyFont="1" applyFill="1" applyBorder="1" applyAlignment="1">
      <alignment horizontal="center"/>
    </xf>
    <xf numFmtId="0" fontId="17" fillId="2" borderId="10" xfId="2" applyFont="1" applyFill="1" applyBorder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7" fillId="2" borderId="9" xfId="2" applyFont="1" applyFill="1" applyBorder="1" applyAlignment="1">
      <alignment horizontal="center" vertical="center"/>
    </xf>
    <xf numFmtId="2" fontId="18" fillId="3" borderId="13" xfId="2" applyNumberFormat="1" applyFont="1" applyFill="1" applyBorder="1" applyAlignment="1" applyProtection="1">
      <alignment horizontal="center" vertical="center"/>
      <protection locked="0"/>
    </xf>
    <xf numFmtId="2" fontId="18" fillId="3" borderId="14" xfId="2" applyNumberFormat="1" applyFont="1" applyFill="1" applyBorder="1" applyAlignment="1" applyProtection="1">
      <alignment horizontal="center" vertical="center"/>
      <protection locked="0"/>
    </xf>
    <xf numFmtId="2" fontId="18" fillId="3" borderId="15" xfId="2" applyNumberFormat="1" applyFont="1" applyFill="1" applyBorder="1" applyAlignment="1" applyProtection="1">
      <alignment horizontal="center" vertical="center"/>
      <protection locked="0"/>
    </xf>
    <xf numFmtId="0" fontId="17" fillId="2" borderId="44" xfId="2" applyFont="1" applyFill="1" applyBorder="1" applyAlignment="1">
      <alignment horizontal="center" vertical="center"/>
    </xf>
    <xf numFmtId="0" fontId="18" fillId="3" borderId="0" xfId="2" applyFont="1" applyFill="1" applyAlignment="1" applyProtection="1">
      <alignment horizontal="left"/>
      <protection locked="0"/>
    </xf>
    <xf numFmtId="0" fontId="15" fillId="2" borderId="18" xfId="2" applyFont="1" applyFill="1" applyBorder="1" applyAlignment="1">
      <alignment horizontal="justify" vertical="center" wrapText="1"/>
    </xf>
    <xf numFmtId="0" fontId="15" fillId="2" borderId="19" xfId="2" applyFont="1" applyFill="1" applyBorder="1" applyAlignment="1">
      <alignment horizontal="justify" vertical="center" wrapText="1"/>
    </xf>
    <xf numFmtId="0" fontId="15" fillId="2" borderId="20" xfId="2" applyFont="1" applyFill="1" applyBorder="1" applyAlignment="1">
      <alignment horizontal="justify" vertical="center" wrapText="1"/>
    </xf>
    <xf numFmtId="0" fontId="15" fillId="2" borderId="18" xfId="2" applyFont="1" applyFill="1" applyBorder="1" applyAlignment="1">
      <alignment horizontal="left" vertical="center" wrapText="1"/>
    </xf>
    <xf numFmtId="0" fontId="15" fillId="2" borderId="19" xfId="2" applyFont="1" applyFill="1" applyBorder="1" applyAlignment="1">
      <alignment horizontal="left" vertical="center" wrapText="1"/>
    </xf>
    <xf numFmtId="0" fontId="15" fillId="2" borderId="20" xfId="2" applyFont="1" applyFill="1" applyBorder="1" applyAlignment="1">
      <alignment horizontal="left" vertical="center" wrapText="1"/>
    </xf>
    <xf numFmtId="0" fontId="15" fillId="2" borderId="21" xfId="2" applyFont="1" applyFill="1" applyBorder="1" applyAlignment="1">
      <alignment horizontal="center" vertical="center" wrapText="1"/>
    </xf>
    <xf numFmtId="0" fontId="15" fillId="2" borderId="22" xfId="2" applyFont="1" applyFill="1" applyBorder="1" applyAlignment="1">
      <alignment horizontal="center" vertical="center" wrapText="1"/>
    </xf>
    <xf numFmtId="0" fontId="15" fillId="2" borderId="44" xfId="2" applyFont="1" applyFill="1" applyBorder="1" applyAlignment="1">
      <alignment horizontal="center" vertical="center" wrapText="1"/>
    </xf>
    <xf numFmtId="0" fontId="15" fillId="2" borderId="45" xfId="2" applyFont="1" applyFill="1" applyBorder="1" applyAlignment="1">
      <alignment horizontal="center" vertical="center" wrapText="1"/>
    </xf>
    <xf numFmtId="0" fontId="17" fillId="2" borderId="24" xfId="2" applyFont="1" applyFill="1" applyBorder="1" applyAlignment="1">
      <alignment horizontal="center"/>
    </xf>
    <xf numFmtId="0" fontId="12" fillId="2" borderId="0" xfId="2" applyFont="1" applyFill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5" fillId="2" borderId="18" xfId="2" applyFont="1" applyFill="1" applyBorder="1" applyAlignment="1">
      <alignment horizontal="center"/>
    </xf>
    <xf numFmtId="0" fontId="15" fillId="2" borderId="19" xfId="2" applyFont="1" applyFill="1" applyBorder="1" applyAlignment="1">
      <alignment horizontal="center"/>
    </xf>
    <xf numFmtId="0" fontId="15" fillId="2" borderId="20" xfId="2" applyFont="1" applyFill="1" applyBorder="1" applyAlignment="1">
      <alignment horizontal="center"/>
    </xf>
    <xf numFmtId="0" fontId="16" fillId="2" borderId="10" xfId="2" applyFont="1" applyFill="1" applyBorder="1" applyAlignment="1">
      <alignment horizontal="center" vertical="center"/>
    </xf>
    <xf numFmtId="0" fontId="18" fillId="3" borderId="0" xfId="2" applyFont="1" applyFill="1" applyAlignment="1" applyProtection="1">
      <alignment horizontal="left" wrapText="1"/>
      <protection locked="0"/>
    </xf>
    <xf numFmtId="0" fontId="19" fillId="3" borderId="0" xfId="2" applyFont="1" applyFill="1" applyAlignment="1" applyProtection="1">
      <alignment horizontal="left" wrapText="1"/>
      <protection locked="0"/>
    </xf>
    <xf numFmtId="0" fontId="19" fillId="3" borderId="0" xfId="2" applyFont="1" applyFill="1" applyAlignment="1" applyProtection="1">
      <alignment horizontal="left"/>
      <protection locked="0"/>
    </xf>
    <xf numFmtId="0" fontId="10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  <xf numFmtId="165" fontId="4" fillId="5" borderId="1" xfId="1" applyNumberFormat="1" applyFont="1" applyFill="1" applyBorder="1" applyAlignment="1">
      <alignment horizontal="center"/>
    </xf>
    <xf numFmtId="171" fontId="18" fillId="3" borderId="34" xfId="2" applyNumberFormat="1" applyFont="1" applyFill="1" applyBorder="1" applyAlignment="1" applyProtection="1">
      <alignment horizontal="center"/>
      <protection locked="0"/>
    </xf>
    <xf numFmtId="171" fontId="18" fillId="3" borderId="38" xfId="2" applyNumberFormat="1" applyFont="1" applyFill="1" applyBorder="1" applyAlignment="1" applyProtection="1">
      <alignment horizontal="center"/>
      <protection locked="0"/>
    </xf>
    <xf numFmtId="171" fontId="17" fillId="6" borderId="51" xfId="2" applyNumberFormat="1" applyFont="1" applyFill="1" applyBorder="1" applyAlignment="1">
      <alignment horizontal="center"/>
    </xf>
    <xf numFmtId="171" fontId="17" fillId="6" borderId="52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10" zoomScale="55" zoomScaleNormal="40" zoomScalePageLayoutView="55" workbookViewId="0">
      <selection activeCell="G111" sqref="G111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286" t="s">
        <v>47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48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>
      <c r="A15" s="93"/>
    </row>
    <row r="16" spans="1:9" ht="19.5" customHeight="1" thickBot="1" x14ac:dyDescent="0.35">
      <c r="A16" s="288" t="s">
        <v>30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49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95" t="s">
        <v>32</v>
      </c>
      <c r="B18" s="292" t="s">
        <v>44</v>
      </c>
      <c r="C18" s="292"/>
      <c r="D18" s="96"/>
      <c r="E18" s="97"/>
      <c r="F18" s="98"/>
      <c r="G18" s="98"/>
      <c r="H18" s="98"/>
    </row>
    <row r="19" spans="1:14" ht="26.25" customHeight="1" x14ac:dyDescent="0.4">
      <c r="A19" s="95" t="s">
        <v>33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34</v>
      </c>
      <c r="B20" s="293" t="s">
        <v>9</v>
      </c>
      <c r="C20" s="293"/>
      <c r="D20" s="98"/>
      <c r="E20" s="98"/>
      <c r="F20" s="98"/>
      <c r="G20" s="98"/>
      <c r="H20" s="98"/>
    </row>
    <row r="21" spans="1:14" ht="26.25" customHeight="1" x14ac:dyDescent="0.4">
      <c r="A21" s="95" t="s">
        <v>35</v>
      </c>
      <c r="B21" s="293" t="s">
        <v>50</v>
      </c>
      <c r="C21" s="293"/>
      <c r="D21" s="293"/>
      <c r="E21" s="293"/>
      <c r="F21" s="293"/>
      <c r="G21" s="293"/>
      <c r="H21" s="293"/>
      <c r="I21" s="100"/>
    </row>
    <row r="22" spans="1:14" ht="26.25" customHeight="1" x14ac:dyDescent="0.4">
      <c r="A22" s="95" t="s">
        <v>36</v>
      </c>
      <c r="B22" s="101">
        <v>42565.302384259259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37</v>
      </c>
      <c r="B23" s="101">
        <v>42569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292" t="s">
        <v>51</v>
      </c>
      <c r="C26" s="292"/>
    </row>
    <row r="27" spans="1:14" ht="26.25" customHeight="1" x14ac:dyDescent="0.4">
      <c r="A27" s="105" t="s">
        <v>52</v>
      </c>
      <c r="B27" s="294" t="s">
        <v>53</v>
      </c>
      <c r="C27" s="294"/>
    </row>
    <row r="28" spans="1:14" ht="27" customHeight="1" thickBot="1" x14ac:dyDescent="0.45">
      <c r="A28" s="105" t="s">
        <v>6</v>
      </c>
      <c r="B28" s="106">
        <v>96.5</v>
      </c>
    </row>
    <row r="29" spans="1:14" s="108" customFormat="1" ht="27" customHeight="1" thickBot="1" x14ac:dyDescent="0.45">
      <c r="A29" s="105" t="s">
        <v>54</v>
      </c>
      <c r="B29" s="107">
        <v>0</v>
      </c>
      <c r="C29" s="275" t="s">
        <v>55</v>
      </c>
      <c r="D29" s="276"/>
      <c r="E29" s="276"/>
      <c r="F29" s="276"/>
      <c r="G29" s="277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56</v>
      </c>
      <c r="B30" s="110">
        <f>B28-B29</f>
        <v>96.5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57</v>
      </c>
      <c r="B31" s="113">
        <v>424.39</v>
      </c>
      <c r="C31" s="278" t="s">
        <v>58</v>
      </c>
      <c r="D31" s="279"/>
      <c r="E31" s="279"/>
      <c r="F31" s="279"/>
      <c r="G31" s="279"/>
      <c r="H31" s="280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59</v>
      </c>
      <c r="B32" s="113">
        <v>510.47</v>
      </c>
      <c r="C32" s="278" t="s">
        <v>60</v>
      </c>
      <c r="D32" s="279"/>
      <c r="E32" s="279"/>
      <c r="F32" s="279"/>
      <c r="G32" s="279"/>
      <c r="H32" s="280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61</v>
      </c>
      <c r="B34" s="118">
        <f>B31/B32</f>
        <v>0.8313710893882108</v>
      </c>
      <c r="C34" s="93" t="s">
        <v>62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63</v>
      </c>
      <c r="B36" s="120">
        <v>25</v>
      </c>
      <c r="C36" s="93"/>
      <c r="D36" s="265" t="s">
        <v>64</v>
      </c>
      <c r="E36" s="285"/>
      <c r="F36" s="265" t="s">
        <v>65</v>
      </c>
      <c r="G36" s="266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66</v>
      </c>
      <c r="B37" s="122">
        <v>10</v>
      </c>
      <c r="C37" s="123" t="s">
        <v>67</v>
      </c>
      <c r="D37" s="124" t="s">
        <v>68</v>
      </c>
      <c r="E37" s="125" t="s">
        <v>69</v>
      </c>
      <c r="F37" s="124" t="s">
        <v>68</v>
      </c>
      <c r="G37" s="126" t="s">
        <v>69</v>
      </c>
      <c r="I37" s="127" t="s">
        <v>70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71</v>
      </c>
      <c r="B38" s="122">
        <v>50</v>
      </c>
      <c r="C38" s="128">
        <v>1</v>
      </c>
      <c r="D38" s="129">
        <v>4427369</v>
      </c>
      <c r="E38" s="130">
        <f>IF(ISBLANK(D38),"-",$D$48/$D$45*D38)</f>
        <v>6263939.8697152445</v>
      </c>
      <c r="F38" s="129">
        <v>4689159</v>
      </c>
      <c r="G38" s="131">
        <f>IF(ISBLANK(F38),"-",$D$48/$F$45*F38)</f>
        <v>6145995.1153448317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72</v>
      </c>
      <c r="B39" s="122">
        <v>1</v>
      </c>
      <c r="C39" s="133">
        <v>2</v>
      </c>
      <c r="D39" s="134">
        <v>4425177</v>
      </c>
      <c r="E39" s="135">
        <f>IF(ISBLANK(D39),"-",$D$48/$D$45*D39)</f>
        <v>6260838.5794919953</v>
      </c>
      <c r="F39" s="134">
        <v>4710375</v>
      </c>
      <c r="G39" s="136">
        <f>IF(ISBLANK(F39),"-",$D$48/$F$45*F39)</f>
        <v>6173802.5393130006</v>
      </c>
      <c r="I39" s="256">
        <f>ABS((F43/D43*D42)-F42)/D42</f>
        <v>1.1371970322879888E-2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73</v>
      </c>
      <c r="B40" s="122">
        <v>1</v>
      </c>
      <c r="C40" s="133">
        <v>3</v>
      </c>
      <c r="D40" s="134">
        <v>4411109</v>
      </c>
      <c r="E40" s="135">
        <f>IF(ISBLANK(D40),"-",$D$48/$D$45*D40)</f>
        <v>6240934.8610336613</v>
      </c>
      <c r="F40" s="134">
        <v>4767153</v>
      </c>
      <c r="G40" s="136">
        <f>IF(ISBLANK(F40),"-",$D$48/$F$45*F40)</f>
        <v>6248220.4276079061</v>
      </c>
      <c r="I40" s="256"/>
      <c r="L40" s="114"/>
      <c r="M40" s="114"/>
      <c r="N40" s="93"/>
    </row>
    <row r="41" spans="1:14" ht="27" customHeight="1" thickBot="1" x14ac:dyDescent="0.45">
      <c r="A41" s="121" t="s">
        <v>74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75</v>
      </c>
      <c r="B42" s="122">
        <v>1</v>
      </c>
      <c r="C42" s="142" t="s">
        <v>76</v>
      </c>
      <c r="D42" s="143">
        <f>AVERAGE(D38:D41)</f>
        <v>4421218.333333333</v>
      </c>
      <c r="E42" s="144">
        <f>AVERAGE(E38:E41)</f>
        <v>6255237.770080301</v>
      </c>
      <c r="F42" s="143">
        <f>AVERAGE(F38:F41)</f>
        <v>4722229</v>
      </c>
      <c r="G42" s="145">
        <f>AVERAGE(G38:G41)</f>
        <v>6189339.3607552461</v>
      </c>
      <c r="H42" s="146"/>
    </row>
    <row r="43" spans="1:14" ht="26.25" customHeight="1" x14ac:dyDescent="0.4">
      <c r="A43" s="121" t="s">
        <v>77</v>
      </c>
      <c r="B43" s="122">
        <v>1</v>
      </c>
      <c r="C43" s="147" t="s">
        <v>78</v>
      </c>
      <c r="D43" s="148">
        <v>26.43</v>
      </c>
      <c r="E43" s="93"/>
      <c r="F43" s="148">
        <v>28.53</v>
      </c>
      <c r="H43" s="146"/>
    </row>
    <row r="44" spans="1:14" ht="26.25" customHeight="1" x14ac:dyDescent="0.4">
      <c r="A44" s="121" t="s">
        <v>79</v>
      </c>
      <c r="B44" s="122">
        <v>1</v>
      </c>
      <c r="C44" s="149" t="s">
        <v>80</v>
      </c>
      <c r="D44" s="150">
        <f>D43*$B$34</f>
        <v>21.97313789253041</v>
      </c>
      <c r="E44" s="151"/>
      <c r="F44" s="150">
        <f>F43*$B$34</f>
        <v>23.719017180245654</v>
      </c>
      <c r="H44" s="146"/>
    </row>
    <row r="45" spans="1:14" ht="19.5" customHeight="1" thickBot="1" x14ac:dyDescent="0.35">
      <c r="A45" s="121" t="s">
        <v>81</v>
      </c>
      <c r="B45" s="133">
        <f>(B44/B43)*(B42/B41)*(B40/B39)*(B38/B37)*B36</f>
        <v>125</v>
      </c>
      <c r="C45" s="149" t="s">
        <v>82</v>
      </c>
      <c r="D45" s="152">
        <f>D44*$B$30/100</f>
        <v>21.204078066291846</v>
      </c>
      <c r="E45" s="153"/>
      <c r="F45" s="152">
        <f>F44*$B$30/100</f>
        <v>22.888851578937057</v>
      </c>
      <c r="H45" s="146"/>
    </row>
    <row r="46" spans="1:14" ht="19.5" customHeight="1" thickBot="1" x14ac:dyDescent="0.35">
      <c r="A46" s="257" t="s">
        <v>83</v>
      </c>
      <c r="B46" s="261"/>
      <c r="C46" s="149" t="s">
        <v>84</v>
      </c>
      <c r="D46" s="154">
        <f>D45/$B$45</f>
        <v>0.16963262453033476</v>
      </c>
      <c r="E46" s="155"/>
      <c r="F46" s="156">
        <f>F45/$B$45</f>
        <v>0.18311081263149645</v>
      </c>
      <c r="H46" s="146"/>
    </row>
    <row r="47" spans="1:14" ht="27" customHeight="1" thickBot="1" x14ac:dyDescent="0.45">
      <c r="A47" s="259"/>
      <c r="B47" s="262"/>
      <c r="C47" s="157" t="s">
        <v>85</v>
      </c>
      <c r="D47" s="158">
        <v>0.24</v>
      </c>
      <c r="E47" s="159"/>
      <c r="F47" s="155"/>
      <c r="H47" s="146"/>
    </row>
    <row r="48" spans="1:14" ht="18.75" x14ac:dyDescent="0.3">
      <c r="C48" s="160" t="s">
        <v>86</v>
      </c>
      <c r="D48" s="152">
        <f>D47*$B$45</f>
        <v>30</v>
      </c>
      <c r="F48" s="161"/>
      <c r="H48" s="146"/>
    </row>
    <row r="49" spans="1:12" ht="19.5" customHeight="1" thickBot="1" x14ac:dyDescent="0.35">
      <c r="C49" s="162" t="s">
        <v>87</v>
      </c>
      <c r="D49" s="163">
        <f>D48/B34</f>
        <v>36.084969014350008</v>
      </c>
      <c r="F49" s="161"/>
      <c r="H49" s="146"/>
    </row>
    <row r="50" spans="1:12" ht="18.75" x14ac:dyDescent="0.3">
      <c r="C50" s="119" t="s">
        <v>88</v>
      </c>
      <c r="D50" s="164">
        <f>AVERAGE(E38:E41,G38:G41)</f>
        <v>6222288.5654177731</v>
      </c>
      <c r="F50" s="165"/>
      <c r="H50" s="146"/>
    </row>
    <row r="51" spans="1:12" ht="18.75" x14ac:dyDescent="0.3">
      <c r="C51" s="121" t="s">
        <v>89</v>
      </c>
      <c r="D51" s="166">
        <f>STDEV(E38:E41,G38:G41)/D50</f>
        <v>8.0075079966866938E-3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90</v>
      </c>
    </row>
    <row r="55" spans="1:12" ht="18.75" x14ac:dyDescent="0.3">
      <c r="A55" s="93" t="s">
        <v>91</v>
      </c>
      <c r="B55" s="171" t="str">
        <f>B21</f>
        <v>Each tablet contains Cefuroxime axetil USP 250 mg</v>
      </c>
    </row>
    <row r="56" spans="1:12" ht="26.25" customHeight="1" x14ac:dyDescent="0.4">
      <c r="A56" s="171" t="s">
        <v>92</v>
      </c>
      <c r="B56" s="172">
        <v>500</v>
      </c>
      <c r="C56" s="93" t="str">
        <f>B20</f>
        <v xml:space="preserve">Cefuroxime Axetil </v>
      </c>
      <c r="H56" s="151"/>
    </row>
    <row r="57" spans="1:12" ht="18.75" x14ac:dyDescent="0.3">
      <c r="A57" s="171" t="s">
        <v>93</v>
      </c>
      <c r="B57" s="173">
        <f>Uniformity!C46</f>
        <v>961.86400000000015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94</v>
      </c>
      <c r="B59" s="120">
        <v>200</v>
      </c>
      <c r="C59" s="93"/>
      <c r="D59" s="174" t="s">
        <v>95</v>
      </c>
      <c r="E59" s="175" t="s">
        <v>67</v>
      </c>
      <c r="F59" s="175" t="s">
        <v>68</v>
      </c>
      <c r="G59" s="175" t="s">
        <v>96</v>
      </c>
      <c r="H59" s="123" t="s">
        <v>97</v>
      </c>
      <c r="L59" s="109"/>
    </row>
    <row r="60" spans="1:12" s="108" customFormat="1" ht="26.25" customHeight="1" x14ac:dyDescent="0.4">
      <c r="A60" s="121" t="s">
        <v>98</v>
      </c>
      <c r="B60" s="122">
        <v>10</v>
      </c>
      <c r="C60" s="267" t="s">
        <v>99</v>
      </c>
      <c r="D60" s="270">
        <v>481.58</v>
      </c>
      <c r="E60" s="176">
        <v>1</v>
      </c>
      <c r="F60" s="177">
        <f>3147426+3369946</f>
        <v>6517372</v>
      </c>
      <c r="G60" s="178">
        <f>IF(ISBLANK(F60),"-",(F60/$D$50*$D$47*$B$68)*($B$57/$D$60))</f>
        <v>502.08683284999097</v>
      </c>
      <c r="H60" s="179">
        <f t="shared" ref="H60:H71" si="0">IF(ISBLANK(F60),"-",G60/$B$56)</f>
        <v>1.004173665699982</v>
      </c>
      <c r="L60" s="109"/>
    </row>
    <row r="61" spans="1:12" s="108" customFormat="1" ht="26.25" customHeight="1" x14ac:dyDescent="0.4">
      <c r="A61" s="121" t="s">
        <v>100</v>
      </c>
      <c r="B61" s="122">
        <v>50</v>
      </c>
      <c r="C61" s="268"/>
      <c r="D61" s="271"/>
      <c r="E61" s="180">
        <v>2</v>
      </c>
      <c r="F61" s="134">
        <f>3122119+3333424</f>
        <v>6455543</v>
      </c>
      <c r="G61" s="181">
        <f>IF(ISBLANK(F61),"-",(F61/$D$50*$D$47*$B$68)*($B$57/$D$60))</f>
        <v>497.32363584538814</v>
      </c>
      <c r="H61" s="182">
        <f t="shared" si="0"/>
        <v>0.99464727169077627</v>
      </c>
      <c r="L61" s="109"/>
    </row>
    <row r="62" spans="1:12" s="108" customFormat="1" ht="26.25" customHeight="1" x14ac:dyDescent="0.4">
      <c r="A62" s="121" t="s">
        <v>101</v>
      </c>
      <c r="B62" s="122">
        <v>1</v>
      </c>
      <c r="C62" s="268"/>
      <c r="D62" s="271"/>
      <c r="E62" s="180">
        <v>3</v>
      </c>
      <c r="F62" s="183">
        <f>3118937+3322801</f>
        <v>6441738</v>
      </c>
      <c r="G62" s="181">
        <f>IF(ISBLANK(F62),"-",(F62/$D$50*$D$47*$B$68)*($B$57/$D$60))</f>
        <v>496.26012301728895</v>
      </c>
      <c r="H62" s="182">
        <f t="shared" si="0"/>
        <v>0.99252024603457789</v>
      </c>
      <c r="L62" s="109"/>
    </row>
    <row r="63" spans="1:12" ht="27" customHeight="1" thickBot="1" x14ac:dyDescent="0.45">
      <c r="A63" s="121" t="s">
        <v>102</v>
      </c>
      <c r="B63" s="122">
        <v>1</v>
      </c>
      <c r="C63" s="269"/>
      <c r="D63" s="272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103</v>
      </c>
      <c r="B64" s="122">
        <v>1</v>
      </c>
      <c r="C64" s="267" t="s">
        <v>104</v>
      </c>
      <c r="D64" s="270">
        <v>470.64</v>
      </c>
      <c r="E64" s="176">
        <v>1</v>
      </c>
      <c r="F64" s="177">
        <f>3064682+3278637</f>
        <v>6343319</v>
      </c>
      <c r="G64" s="186">
        <f>IF(ISBLANK(F64),"-",(F64/$D$50*$D$47*$B$68)*($B$57/$D$64))</f>
        <v>500.03739154798427</v>
      </c>
      <c r="H64" s="187">
        <f t="shared" si="0"/>
        <v>1.0000747830959686</v>
      </c>
    </row>
    <row r="65" spans="1:8" ht="26.25" customHeight="1" x14ac:dyDescent="0.4">
      <c r="A65" s="121" t="s">
        <v>105</v>
      </c>
      <c r="B65" s="122">
        <v>1</v>
      </c>
      <c r="C65" s="268"/>
      <c r="D65" s="271"/>
      <c r="E65" s="180">
        <v>2</v>
      </c>
      <c r="F65" s="134">
        <f>3050230+3253647</f>
        <v>6303877</v>
      </c>
      <c r="G65" s="188">
        <f>IF(ISBLANK(F65),"-",(F65/$D$50*$D$47*$B$68)*($B$57/$D$64))</f>
        <v>496.92821876360506</v>
      </c>
      <c r="H65" s="189">
        <f t="shared" si="0"/>
        <v>0.99385643752721009</v>
      </c>
    </row>
    <row r="66" spans="1:8" ht="26.25" customHeight="1" x14ac:dyDescent="0.4">
      <c r="A66" s="121" t="s">
        <v>106</v>
      </c>
      <c r="B66" s="122">
        <v>1</v>
      </c>
      <c r="C66" s="268"/>
      <c r="D66" s="271"/>
      <c r="E66" s="180">
        <v>3</v>
      </c>
      <c r="F66" s="134">
        <f>3020666+3213357</f>
        <v>6234023</v>
      </c>
      <c r="G66" s="188">
        <f>IF(ISBLANK(F66),"-",(F66/$D$50*$D$47*$B$68)*($B$57/$D$64))</f>
        <v>491.42169891978307</v>
      </c>
      <c r="H66" s="189">
        <f t="shared" si="0"/>
        <v>0.98284339783956609</v>
      </c>
    </row>
    <row r="67" spans="1:8" ht="27" customHeight="1" thickBot="1" x14ac:dyDescent="0.45">
      <c r="A67" s="121" t="s">
        <v>107</v>
      </c>
      <c r="B67" s="122">
        <v>1</v>
      </c>
      <c r="C67" s="269"/>
      <c r="D67" s="272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1" t="s">
        <v>108</v>
      </c>
      <c r="B68" s="192">
        <f>(B67/B66)*(B65/B64)*(B63/B62)*(B61/B60)*B59</f>
        <v>1000</v>
      </c>
      <c r="C68" s="267" t="s">
        <v>109</v>
      </c>
      <c r="D68" s="270">
        <v>483.62</v>
      </c>
      <c r="E68" s="176">
        <v>1</v>
      </c>
      <c r="F68" s="177">
        <f>3138262+3354158</f>
        <v>6492420</v>
      </c>
      <c r="G68" s="186">
        <f>IF(ISBLANK(F68),"-",(F68/$D$50*$D$47*$B$68)*($B$57/$D$68))</f>
        <v>498.05478669703263</v>
      </c>
      <c r="H68" s="182">
        <f t="shared" si="0"/>
        <v>0.99610957339406525</v>
      </c>
    </row>
    <row r="69" spans="1:8" ht="27" customHeight="1" thickBot="1" x14ac:dyDescent="0.45">
      <c r="A69" s="167" t="s">
        <v>110</v>
      </c>
      <c r="B69" s="193">
        <f>(D47*B68)/B56*B57</f>
        <v>461.69472000000007</v>
      </c>
      <c r="C69" s="268"/>
      <c r="D69" s="271"/>
      <c r="E69" s="180">
        <v>2</v>
      </c>
      <c r="F69" s="134">
        <f>3112875+3317760</f>
        <v>6430635</v>
      </c>
      <c r="G69" s="188">
        <f>IF(ISBLANK(F69),"-",(F69/$D$50*$D$47*$B$68)*($B$57/$D$68))</f>
        <v>493.31505713608681</v>
      </c>
      <c r="H69" s="182">
        <f t="shared" si="0"/>
        <v>0.98663011427217362</v>
      </c>
    </row>
    <row r="70" spans="1:8" ht="26.25" customHeight="1" x14ac:dyDescent="0.4">
      <c r="A70" s="281" t="s">
        <v>83</v>
      </c>
      <c r="B70" s="282"/>
      <c r="C70" s="268"/>
      <c r="D70" s="271"/>
      <c r="E70" s="180">
        <v>3</v>
      </c>
      <c r="F70" s="134">
        <f>3079344+3270769</f>
        <v>6350113</v>
      </c>
      <c r="G70" s="188">
        <f>IF(ISBLANK(F70),"-",(F70/$D$50*$D$47*$B$68)*($B$57/$D$68))</f>
        <v>487.13795098238472</v>
      </c>
      <c r="H70" s="182">
        <f t="shared" si="0"/>
        <v>0.97427590196476943</v>
      </c>
    </row>
    <row r="71" spans="1:8" ht="27" customHeight="1" thickBot="1" x14ac:dyDescent="0.45">
      <c r="A71" s="283"/>
      <c r="B71" s="284"/>
      <c r="C71" s="273"/>
      <c r="D71" s="272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5" t="s">
        <v>76</v>
      </c>
      <c r="G72" s="196">
        <f>AVERAGE(G60:G71)</f>
        <v>495.84063286217162</v>
      </c>
      <c r="H72" s="197">
        <f>AVERAGE(H60:H71)</f>
        <v>0.99168126572434323</v>
      </c>
    </row>
    <row r="73" spans="1:8" ht="26.25" customHeight="1" x14ac:dyDescent="0.4">
      <c r="C73" s="151"/>
      <c r="D73" s="151"/>
      <c r="E73" s="151"/>
      <c r="F73" s="198" t="s">
        <v>89</v>
      </c>
      <c r="G73" s="199">
        <f>STDEV(G60:G71)/G72</f>
        <v>9.2070501853657796E-3</v>
      </c>
      <c r="H73" s="199">
        <f>STDEV(H60:H71)/H72</f>
        <v>9.2070501853658109E-3</v>
      </c>
    </row>
    <row r="74" spans="1:8" ht="27" customHeight="1" thickBot="1" x14ac:dyDescent="0.45">
      <c r="A74" s="151"/>
      <c r="B74" s="151"/>
      <c r="C74" s="151"/>
      <c r="D74" s="151"/>
      <c r="E74" s="153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4" t="s">
        <v>111</v>
      </c>
      <c r="B76" s="105" t="s">
        <v>112</v>
      </c>
      <c r="C76" s="263" t="str">
        <f>B20</f>
        <v xml:space="preserve">Cefuroxime Axetil </v>
      </c>
      <c r="D76" s="263"/>
      <c r="E76" s="93" t="s">
        <v>113</v>
      </c>
      <c r="F76" s="93"/>
      <c r="G76" s="202">
        <f>H72</f>
        <v>0.99168126572434323</v>
      </c>
      <c r="H76" s="110"/>
    </row>
    <row r="77" spans="1:8" ht="18.75" x14ac:dyDescent="0.3">
      <c r="A77" s="103" t="s">
        <v>114</v>
      </c>
      <c r="B77" s="103" t="s">
        <v>115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274" t="str">
        <f>B26</f>
        <v xml:space="preserve">CEFUROXIME AXETIL </v>
      </c>
      <c r="C79" s="274"/>
    </row>
    <row r="80" spans="1:8" ht="26.25" customHeight="1" x14ac:dyDescent="0.4">
      <c r="A80" s="105" t="s">
        <v>52</v>
      </c>
      <c r="B80" s="274" t="str">
        <f>B27</f>
        <v>C66-1</v>
      </c>
      <c r="C80" s="274"/>
    </row>
    <row r="81" spans="1:12" ht="27" customHeight="1" thickBot="1" x14ac:dyDescent="0.45">
      <c r="A81" s="105" t="s">
        <v>6</v>
      </c>
      <c r="B81" s="106">
        <f>B28</f>
        <v>96.5</v>
      </c>
    </row>
    <row r="82" spans="1:12" s="108" customFormat="1" ht="27" customHeight="1" thickBot="1" x14ac:dyDescent="0.45">
      <c r="A82" s="105" t="s">
        <v>54</v>
      </c>
      <c r="B82" s="107">
        <v>0</v>
      </c>
      <c r="C82" s="275" t="s">
        <v>55</v>
      </c>
      <c r="D82" s="276"/>
      <c r="E82" s="276"/>
      <c r="F82" s="276"/>
      <c r="G82" s="277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56</v>
      </c>
      <c r="B83" s="110">
        <f>B81-B82</f>
        <v>96.5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57</v>
      </c>
      <c r="B84" s="113">
        <v>424.39</v>
      </c>
      <c r="C84" s="278" t="s">
        <v>116</v>
      </c>
      <c r="D84" s="279"/>
      <c r="E84" s="279"/>
      <c r="F84" s="279"/>
      <c r="G84" s="279"/>
      <c r="H84" s="280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59</v>
      </c>
      <c r="B85" s="113">
        <v>510.47</v>
      </c>
      <c r="C85" s="278" t="s">
        <v>117</v>
      </c>
      <c r="D85" s="279"/>
      <c r="E85" s="279"/>
      <c r="F85" s="279"/>
      <c r="G85" s="279"/>
      <c r="H85" s="280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61</v>
      </c>
      <c r="B87" s="118">
        <f>B84/B85</f>
        <v>0.8313710893882108</v>
      </c>
      <c r="C87" s="93" t="s">
        <v>62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63</v>
      </c>
      <c r="B89" s="120">
        <v>25</v>
      </c>
      <c r="D89" s="203" t="s">
        <v>64</v>
      </c>
      <c r="E89" s="204"/>
      <c r="F89" s="265" t="s">
        <v>65</v>
      </c>
      <c r="G89" s="266"/>
    </row>
    <row r="90" spans="1:12" ht="27" customHeight="1" thickBot="1" x14ac:dyDescent="0.45">
      <c r="A90" s="121" t="s">
        <v>66</v>
      </c>
      <c r="B90" s="122">
        <v>10</v>
      </c>
      <c r="C90" s="205" t="s">
        <v>67</v>
      </c>
      <c r="D90" s="124" t="s">
        <v>68</v>
      </c>
      <c r="E90" s="125" t="s">
        <v>69</v>
      </c>
      <c r="F90" s="124" t="s">
        <v>68</v>
      </c>
      <c r="G90" s="206" t="s">
        <v>69</v>
      </c>
      <c r="I90" s="127" t="s">
        <v>70</v>
      </c>
    </row>
    <row r="91" spans="1:12" ht="26.25" customHeight="1" x14ac:dyDescent="0.4">
      <c r="A91" s="121" t="s">
        <v>71</v>
      </c>
      <c r="B91" s="122">
        <v>50</v>
      </c>
      <c r="C91" s="207">
        <v>1</v>
      </c>
      <c r="D91" s="129">
        <v>0.81399999999999995</v>
      </c>
      <c r="E91" s="130">
        <f>IF(ISBLANK(D91),"-",$D$101/$D$98*D91)</f>
        <v>0.98786568793684992</v>
      </c>
      <c r="F91" s="129">
        <v>0.75</v>
      </c>
      <c r="G91" s="131">
        <f>IF(ISBLANK(F91),"-",$D$101/$F$98*F91)</f>
        <v>0.98251540426330131</v>
      </c>
      <c r="I91" s="132"/>
    </row>
    <row r="92" spans="1:12" ht="26.25" customHeight="1" x14ac:dyDescent="0.4">
      <c r="A92" s="121" t="s">
        <v>72</v>
      </c>
      <c r="B92" s="122">
        <v>5</v>
      </c>
      <c r="C92" s="151">
        <v>2</v>
      </c>
      <c r="D92" s="134">
        <v>0.80900000000000005</v>
      </c>
      <c r="E92" s="135">
        <f>IF(ISBLANK(D92),"-",$D$101/$D$98*D92)</f>
        <v>0.98179771688072692</v>
      </c>
      <c r="F92" s="134">
        <v>0.753</v>
      </c>
      <c r="G92" s="136">
        <f>IF(ISBLANK(F92),"-",$D$101/$F$98*F92)</f>
        <v>0.98644546588035453</v>
      </c>
      <c r="I92" s="256">
        <f>ABS((F96/D96*D95)-F95)/D95</f>
        <v>1.1787462190546193E-3</v>
      </c>
    </row>
    <row r="93" spans="1:12" ht="26.25" customHeight="1" x14ac:dyDescent="0.4">
      <c r="A93" s="121" t="s">
        <v>73</v>
      </c>
      <c r="B93" s="122">
        <v>50</v>
      </c>
      <c r="C93" s="151">
        <v>3</v>
      </c>
      <c r="D93" s="134">
        <v>0.80700000000000005</v>
      </c>
      <c r="E93" s="135">
        <f>IF(ISBLANK(D93),"-",$D$101/$D$98*D93)</f>
        <v>0.97937052845827766</v>
      </c>
      <c r="F93" s="134">
        <v>0.751</v>
      </c>
      <c r="G93" s="136">
        <f>IF(ISBLANK(F93),"-",$D$101/$F$98*F93)</f>
        <v>0.98382542480231905</v>
      </c>
      <c r="I93" s="256"/>
    </row>
    <row r="94" spans="1:12" ht="27" customHeight="1" thickBot="1" x14ac:dyDescent="0.45">
      <c r="A94" s="121" t="s">
        <v>74</v>
      </c>
      <c r="B94" s="122">
        <v>1</v>
      </c>
      <c r="C94" s="208">
        <v>4</v>
      </c>
      <c r="D94" s="138"/>
      <c r="E94" s="139" t="str">
        <f>IF(ISBLANK(D94),"-",$D$101/$D$98*D94)</f>
        <v>-</v>
      </c>
      <c r="F94" s="209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75</v>
      </c>
      <c r="B95" s="122">
        <v>1</v>
      </c>
      <c r="C95" s="105" t="s">
        <v>76</v>
      </c>
      <c r="D95" s="210">
        <f>AVERAGE(D91:D94)</f>
        <v>0.81</v>
      </c>
      <c r="E95" s="144">
        <f>AVERAGE(E91:E94)</f>
        <v>0.98301131109195161</v>
      </c>
      <c r="F95" s="211">
        <f>AVERAGE(F91:F94)</f>
        <v>0.7513333333333333</v>
      </c>
      <c r="G95" s="212">
        <f>AVERAGE(G91:G94)</f>
        <v>0.98426209831532496</v>
      </c>
    </row>
    <row r="96" spans="1:12" ht="26.25" customHeight="1" x14ac:dyDescent="0.4">
      <c r="A96" s="121" t="s">
        <v>77</v>
      </c>
      <c r="B96" s="106">
        <v>1</v>
      </c>
      <c r="C96" s="213" t="s">
        <v>118</v>
      </c>
      <c r="D96" s="214">
        <v>28.53</v>
      </c>
      <c r="E96" s="93"/>
      <c r="F96" s="148">
        <v>26.43</v>
      </c>
    </row>
    <row r="97" spans="1:10" ht="26.25" customHeight="1" x14ac:dyDescent="0.4">
      <c r="A97" s="121" t="s">
        <v>79</v>
      </c>
      <c r="B97" s="106">
        <v>1</v>
      </c>
      <c r="C97" s="215" t="s">
        <v>119</v>
      </c>
      <c r="D97" s="216">
        <f>D96*$B$87</f>
        <v>23.719017180245654</v>
      </c>
      <c r="E97" s="151"/>
      <c r="F97" s="150">
        <f>F96*$B$87</f>
        <v>21.97313789253041</v>
      </c>
    </row>
    <row r="98" spans="1:10" ht="19.5" customHeight="1" thickBot="1" x14ac:dyDescent="0.35">
      <c r="A98" s="121" t="s">
        <v>81</v>
      </c>
      <c r="B98" s="151">
        <f>(B97/B96)*(B95/B94)*(B93/B92)*(B91/B90)*B89</f>
        <v>1250</v>
      </c>
      <c r="C98" s="215" t="s">
        <v>120</v>
      </c>
      <c r="D98" s="217">
        <f>D97*$B$83/100</f>
        <v>22.888851578937057</v>
      </c>
      <c r="E98" s="153"/>
      <c r="F98" s="152">
        <f>F97*$B$83/100</f>
        <v>21.204078066291846</v>
      </c>
    </row>
    <row r="99" spans="1:10" ht="19.5" customHeight="1" thickBot="1" x14ac:dyDescent="0.35">
      <c r="A99" s="257" t="s">
        <v>83</v>
      </c>
      <c r="B99" s="258"/>
      <c r="C99" s="215" t="s">
        <v>121</v>
      </c>
      <c r="D99" s="218">
        <f>D98/$B$98</f>
        <v>1.8311081263149644E-2</v>
      </c>
      <c r="E99" s="153"/>
      <c r="F99" s="156">
        <f>F98/$B$98</f>
        <v>1.6963262453033475E-2</v>
      </c>
      <c r="H99" s="146"/>
    </row>
    <row r="100" spans="1:10" ht="19.5" customHeight="1" thickBot="1" x14ac:dyDescent="0.35">
      <c r="A100" s="259"/>
      <c r="B100" s="260"/>
      <c r="C100" s="215" t="s">
        <v>85</v>
      </c>
      <c r="D100" s="219">
        <f>$B$56/$B$116</f>
        <v>2.2222222222222223E-2</v>
      </c>
      <c r="F100" s="161"/>
      <c r="G100" s="220"/>
      <c r="H100" s="146"/>
    </row>
    <row r="101" spans="1:10" ht="18.75" x14ac:dyDescent="0.3">
      <c r="C101" s="215" t="s">
        <v>86</v>
      </c>
      <c r="D101" s="216">
        <f>D100*$B$98</f>
        <v>27.777777777777779</v>
      </c>
      <c r="F101" s="161"/>
      <c r="H101" s="146"/>
    </row>
    <row r="102" spans="1:10" ht="19.5" customHeight="1" thickBot="1" x14ac:dyDescent="0.35">
      <c r="C102" s="221" t="s">
        <v>87</v>
      </c>
      <c r="D102" s="222">
        <f>D101/B34</f>
        <v>33.412008346620382</v>
      </c>
      <c r="F102" s="165"/>
      <c r="H102" s="146"/>
      <c r="J102" s="223"/>
    </row>
    <row r="103" spans="1:10" ht="18.75" x14ac:dyDescent="0.3">
      <c r="C103" s="224" t="s">
        <v>122</v>
      </c>
      <c r="D103" s="225">
        <f>AVERAGE(E91:E94,G91:G94)</f>
        <v>0.98363670470363829</v>
      </c>
      <c r="F103" s="165"/>
      <c r="G103" s="220"/>
      <c r="H103" s="146"/>
      <c r="J103" s="226"/>
    </row>
    <row r="104" spans="1:10" ht="18.75" x14ac:dyDescent="0.3">
      <c r="C104" s="198" t="s">
        <v>89</v>
      </c>
      <c r="D104" s="227">
        <f>STDEV(E91:E94,G91:G94)/D103</f>
        <v>3.1711370996084691E-3</v>
      </c>
      <c r="F104" s="165"/>
      <c r="H104" s="146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5"/>
      <c r="H105" s="146"/>
      <c r="J105" s="226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6.25" customHeight="1" x14ac:dyDescent="0.4">
      <c r="A107" s="119" t="s">
        <v>123</v>
      </c>
      <c r="B107" s="120">
        <v>900</v>
      </c>
      <c r="C107" s="203" t="s">
        <v>124</v>
      </c>
      <c r="D107" s="229" t="s">
        <v>68</v>
      </c>
      <c r="E107" s="230" t="s">
        <v>125</v>
      </c>
      <c r="F107" s="231" t="s">
        <v>126</v>
      </c>
    </row>
    <row r="108" spans="1:10" ht="26.25" customHeight="1" x14ac:dyDescent="0.4">
      <c r="A108" s="121" t="s">
        <v>127</v>
      </c>
      <c r="B108" s="122">
        <v>4</v>
      </c>
      <c r="C108" s="232">
        <v>1</v>
      </c>
      <c r="D108" s="306">
        <v>0.75700000000000001</v>
      </c>
      <c r="E108" s="233">
        <f t="shared" ref="E108:E113" si="1">IF(ISBLANK(D108),"-",D108/$D$103*$D$100*$B$116)</f>
        <v>384.79653940327387</v>
      </c>
      <c r="F108" s="234">
        <f t="shared" ref="F108:F113" si="2">IF(ISBLANK(D108), "-", E108/$B$56)</f>
        <v>0.7695930788065477</v>
      </c>
    </row>
    <row r="109" spans="1:10" ht="26.25" customHeight="1" x14ac:dyDescent="0.4">
      <c r="A109" s="121" t="s">
        <v>100</v>
      </c>
      <c r="B109" s="122">
        <v>100</v>
      </c>
      <c r="C109" s="232">
        <v>2</v>
      </c>
      <c r="D109" s="306">
        <v>0.68799999999999994</v>
      </c>
      <c r="E109" s="235">
        <f t="shared" si="1"/>
        <v>349.72261441142984</v>
      </c>
      <c r="F109" s="236">
        <f t="shared" si="2"/>
        <v>0.69944522882285964</v>
      </c>
    </row>
    <row r="110" spans="1:10" ht="26.25" customHeight="1" x14ac:dyDescent="0.4">
      <c r="A110" s="121" t="s">
        <v>101</v>
      </c>
      <c r="B110" s="122">
        <v>1</v>
      </c>
      <c r="C110" s="232">
        <v>3</v>
      </c>
      <c r="D110" s="306">
        <v>0.70599999999999996</v>
      </c>
      <c r="E110" s="235">
        <f t="shared" si="1"/>
        <v>358.87233397451962</v>
      </c>
      <c r="F110" s="236">
        <f t="shared" si="2"/>
        <v>0.71774466794903924</v>
      </c>
    </row>
    <row r="111" spans="1:10" ht="26.25" customHeight="1" x14ac:dyDescent="0.4">
      <c r="A111" s="121" t="s">
        <v>102</v>
      </c>
      <c r="B111" s="122">
        <v>1</v>
      </c>
      <c r="C111" s="232">
        <v>4</v>
      </c>
      <c r="D111" s="306">
        <v>0.71199999999999997</v>
      </c>
      <c r="E111" s="235">
        <f t="shared" si="1"/>
        <v>361.92224049554949</v>
      </c>
      <c r="F111" s="236">
        <f t="shared" si="2"/>
        <v>0.72384448099109899</v>
      </c>
    </row>
    <row r="112" spans="1:10" ht="26.25" customHeight="1" x14ac:dyDescent="0.4">
      <c r="A112" s="121" t="s">
        <v>103</v>
      </c>
      <c r="B112" s="122">
        <v>1</v>
      </c>
      <c r="C112" s="232">
        <v>5</v>
      </c>
      <c r="D112" s="306">
        <v>0.71899999999999997</v>
      </c>
      <c r="E112" s="235">
        <f t="shared" si="1"/>
        <v>365.48046477008438</v>
      </c>
      <c r="F112" s="236">
        <f t="shared" si="2"/>
        <v>0.73096092954016878</v>
      </c>
    </row>
    <row r="113" spans="1:10" ht="26.25" customHeight="1" x14ac:dyDescent="0.4">
      <c r="A113" s="121" t="s">
        <v>105</v>
      </c>
      <c r="B113" s="122">
        <v>1</v>
      </c>
      <c r="C113" s="237">
        <v>6</v>
      </c>
      <c r="D113" s="307">
        <v>0.73499999999999999</v>
      </c>
      <c r="E113" s="238">
        <f t="shared" si="1"/>
        <v>373.61354882616416</v>
      </c>
      <c r="F113" s="239">
        <f t="shared" si="2"/>
        <v>0.74722709765232831</v>
      </c>
    </row>
    <row r="114" spans="1:10" ht="26.25" customHeight="1" x14ac:dyDescent="0.4">
      <c r="A114" s="121" t="s">
        <v>106</v>
      </c>
      <c r="B114" s="122">
        <v>1</v>
      </c>
      <c r="C114" s="232"/>
      <c r="D114" s="151"/>
      <c r="E114" s="93"/>
      <c r="F114" s="240"/>
    </row>
    <row r="115" spans="1:10" ht="26.25" customHeight="1" x14ac:dyDescent="0.4">
      <c r="A115" s="121" t="s">
        <v>107</v>
      </c>
      <c r="B115" s="122">
        <v>1</v>
      </c>
      <c r="C115" s="232"/>
      <c r="D115" s="241" t="s">
        <v>76</v>
      </c>
      <c r="E115" s="242">
        <f>AVERAGE(E108:E113)</f>
        <v>365.73462364683695</v>
      </c>
      <c r="F115" s="243">
        <f>AVERAGE(F108:F113)</f>
        <v>0.7314692472936738</v>
      </c>
    </row>
    <row r="116" spans="1:10" ht="27" customHeight="1" thickBot="1" x14ac:dyDescent="0.45">
      <c r="A116" s="121" t="s">
        <v>108</v>
      </c>
      <c r="B116" s="133">
        <f>(B115/B114)*(B113/B112)*(B111/B110)*(B109/B108)*B107</f>
        <v>22500</v>
      </c>
      <c r="C116" s="244"/>
      <c r="D116" s="105" t="s">
        <v>89</v>
      </c>
      <c r="E116" s="245">
        <f>STDEV(E108:E113)/E115</f>
        <v>3.334201677802686E-2</v>
      </c>
      <c r="F116" s="245">
        <f>STDEV(F108:F113)/F115</f>
        <v>3.3342016778026867E-2</v>
      </c>
      <c r="I116" s="93"/>
    </row>
    <row r="117" spans="1:10" ht="27" customHeight="1" thickBot="1" x14ac:dyDescent="0.45">
      <c r="A117" s="257" t="s">
        <v>83</v>
      </c>
      <c r="B117" s="261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3"/>
      <c r="J117" s="226"/>
    </row>
    <row r="118" spans="1:10" ht="19.5" customHeight="1" thickBot="1" x14ac:dyDescent="0.35">
      <c r="A118" s="259"/>
      <c r="B118" s="262"/>
      <c r="C118" s="93"/>
      <c r="D118" s="93"/>
      <c r="E118" s="93"/>
      <c r="F118" s="151"/>
      <c r="G118" s="93"/>
      <c r="H118" s="93"/>
      <c r="I118" s="93"/>
    </row>
    <row r="119" spans="1:10" ht="18.75" x14ac:dyDescent="0.3">
      <c r="A119" s="249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">
      <c r="A120" s="104" t="s">
        <v>111</v>
      </c>
      <c r="B120" s="105" t="s">
        <v>128</v>
      </c>
      <c r="C120" s="263" t="str">
        <f>B20</f>
        <v xml:space="preserve">Cefuroxime Axetil </v>
      </c>
      <c r="D120" s="263"/>
      <c r="E120" s="93" t="s">
        <v>129</v>
      </c>
      <c r="F120" s="93"/>
      <c r="G120" s="202">
        <f>F115</f>
        <v>0.7314692472936738</v>
      </c>
      <c r="H120" s="93"/>
      <c r="I120" s="93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264" t="s">
        <v>25</v>
      </c>
      <c r="C122" s="264"/>
      <c r="E122" s="205" t="s">
        <v>26</v>
      </c>
      <c r="F122" s="252"/>
      <c r="G122" s="264" t="s">
        <v>27</v>
      </c>
      <c r="H122" s="264"/>
    </row>
    <row r="123" spans="1:10" ht="69.95" customHeight="1" x14ac:dyDescent="0.3">
      <c r="A123" s="104" t="s">
        <v>28</v>
      </c>
      <c r="B123" s="253"/>
      <c r="C123" s="253"/>
      <c r="E123" s="253"/>
      <c r="F123" s="93"/>
      <c r="G123" s="253"/>
      <c r="H123" s="253"/>
    </row>
    <row r="124" spans="1:10" ht="69.95" customHeight="1" x14ac:dyDescent="0.3">
      <c r="A124" s="104" t="s">
        <v>29</v>
      </c>
      <c r="B124" s="254"/>
      <c r="C124" s="254"/>
      <c r="E124" s="254"/>
      <c r="F124" s="93"/>
      <c r="G124" s="255"/>
      <c r="H124" s="255"/>
    </row>
    <row r="125" spans="1:10" ht="18.75" x14ac:dyDescent="0.3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.75" x14ac:dyDescent="0.3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.75" x14ac:dyDescent="0.3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.75" x14ac:dyDescent="0.3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.75" x14ac:dyDescent="0.3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25">
      <c r="A250" s="92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D53" sqref="D53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44</v>
      </c>
      <c r="D17" s="54"/>
      <c r="E17" s="55"/>
    </row>
    <row r="18" spans="1:5" ht="16.5" customHeight="1" x14ac:dyDescent="0.3">
      <c r="A18" s="56" t="s">
        <v>4</v>
      </c>
      <c r="B18" s="57" t="s">
        <v>7</v>
      </c>
      <c r="C18" s="55"/>
      <c r="D18" s="55"/>
      <c r="E18" s="55"/>
    </row>
    <row r="19" spans="1:5" ht="16.5" customHeight="1" x14ac:dyDescent="0.3">
      <c r="A19" s="56" t="s">
        <v>6</v>
      </c>
      <c r="B19" s="49">
        <v>99.65</v>
      </c>
      <c r="C19" s="55"/>
      <c r="D19" s="55"/>
      <c r="E19" s="55"/>
    </row>
    <row r="20" spans="1:5" ht="16.5" customHeight="1" x14ac:dyDescent="0.3">
      <c r="A20" s="53" t="s">
        <v>8</v>
      </c>
      <c r="B20" s="57">
        <v>26.43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B20/25*10/50</f>
        <v>0.21143999999999999</v>
      </c>
      <c r="C21" s="55"/>
      <c r="D21" s="55"/>
      <c r="E21" s="55"/>
    </row>
    <row r="22" spans="1:5" ht="15.75" customHeight="1" x14ac:dyDescent="0.25">
      <c r="A22" s="55"/>
      <c r="B22" s="55" t="s">
        <v>45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2191772</v>
      </c>
      <c r="C24" s="62">
        <v>7432.8</v>
      </c>
      <c r="D24" s="63">
        <v>1</v>
      </c>
      <c r="E24" s="64">
        <v>15.9</v>
      </c>
    </row>
    <row r="25" spans="1:5" ht="16.5" customHeight="1" x14ac:dyDescent="0.3">
      <c r="A25" s="61">
        <v>2</v>
      </c>
      <c r="B25" s="62">
        <v>2163919</v>
      </c>
      <c r="C25" s="62">
        <v>7390.7</v>
      </c>
      <c r="D25" s="63">
        <v>1</v>
      </c>
      <c r="E25" s="63">
        <v>15.8</v>
      </c>
    </row>
    <row r="26" spans="1:5" ht="16.5" customHeight="1" x14ac:dyDescent="0.3">
      <c r="A26" s="61">
        <v>3</v>
      </c>
      <c r="B26" s="62">
        <v>2159267</v>
      </c>
      <c r="C26" s="62">
        <v>7380</v>
      </c>
      <c r="D26" s="63">
        <v>1</v>
      </c>
      <c r="E26" s="63">
        <v>15.8</v>
      </c>
    </row>
    <row r="27" spans="1:5" ht="16.5" customHeight="1" x14ac:dyDescent="0.3">
      <c r="A27" s="61">
        <v>4</v>
      </c>
      <c r="B27" s="62">
        <v>2146592</v>
      </c>
      <c r="C27" s="62">
        <v>7498.1</v>
      </c>
      <c r="D27" s="63">
        <v>1</v>
      </c>
      <c r="E27" s="63">
        <v>15.8</v>
      </c>
    </row>
    <row r="28" spans="1:5" ht="16.5" customHeight="1" x14ac:dyDescent="0.3">
      <c r="A28" s="61">
        <v>5</v>
      </c>
      <c r="B28" s="62">
        <v>2139846</v>
      </c>
      <c r="C28" s="62">
        <v>7418.2</v>
      </c>
      <c r="D28" s="63">
        <v>1</v>
      </c>
      <c r="E28" s="63">
        <v>15.8</v>
      </c>
    </row>
    <row r="29" spans="1:5" ht="16.5" customHeight="1" x14ac:dyDescent="0.3">
      <c r="A29" s="61">
        <v>6</v>
      </c>
      <c r="B29" s="65">
        <v>2123890</v>
      </c>
      <c r="C29" s="65">
        <v>7484.9</v>
      </c>
      <c r="D29" s="66">
        <v>1</v>
      </c>
      <c r="E29" s="66">
        <v>15.7</v>
      </c>
    </row>
    <row r="30" spans="1:5" ht="16.5" customHeight="1" x14ac:dyDescent="0.3">
      <c r="A30" s="67" t="s">
        <v>18</v>
      </c>
      <c r="B30" s="68">
        <f>AVERAGE(B24:B29)</f>
        <v>2154214.3333333335</v>
      </c>
      <c r="C30" s="69">
        <f>AVERAGE(C24:C29)</f>
        <v>7434.1166666666659</v>
      </c>
      <c r="D30" s="70">
        <v>1</v>
      </c>
      <c r="E30" s="70">
        <f>AVERAGE(E24:E29)</f>
        <v>15.799999999999999</v>
      </c>
    </row>
    <row r="31" spans="1:5" ht="16.5" customHeight="1" x14ac:dyDescent="0.3">
      <c r="A31" s="71" t="s">
        <v>19</v>
      </c>
      <c r="B31" s="72">
        <f>(STDEV(B24:B29)/B30)</f>
        <v>1.0815913577308255E-2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46</v>
      </c>
    </row>
    <row r="39" spans="1:5" ht="16.5" customHeight="1" x14ac:dyDescent="0.3">
      <c r="A39" s="56" t="s">
        <v>4</v>
      </c>
      <c r="B39" s="53" t="s">
        <v>7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99.65</v>
      </c>
      <c r="C40" s="55"/>
      <c r="D40" s="55"/>
      <c r="E40" s="55"/>
    </row>
    <row r="41" spans="1:5" ht="16.5" customHeight="1" x14ac:dyDescent="0.3">
      <c r="A41" s="53" t="s">
        <v>8</v>
      </c>
      <c r="B41" s="57">
        <v>26.43</v>
      </c>
      <c r="C41" s="55"/>
      <c r="D41" s="55"/>
      <c r="E41" s="55"/>
    </row>
    <row r="42" spans="1:5" ht="16.5" customHeight="1" x14ac:dyDescent="0.3">
      <c r="A42" s="53" t="s">
        <v>10</v>
      </c>
      <c r="B42" s="58">
        <v>0.21143999999999999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2300722</v>
      </c>
      <c r="C45" s="62">
        <v>7155</v>
      </c>
      <c r="D45" s="63">
        <v>1</v>
      </c>
      <c r="E45" s="64">
        <v>18.600000000000001</v>
      </c>
    </row>
    <row r="46" spans="1:5" ht="16.5" customHeight="1" x14ac:dyDescent="0.3">
      <c r="A46" s="61">
        <v>2</v>
      </c>
      <c r="B46" s="62">
        <v>2265773</v>
      </c>
      <c r="C46" s="62">
        <v>7209.7</v>
      </c>
      <c r="D46" s="63">
        <v>1</v>
      </c>
      <c r="E46" s="63">
        <v>18.5</v>
      </c>
    </row>
    <row r="47" spans="1:5" ht="16.5" customHeight="1" x14ac:dyDescent="0.3">
      <c r="A47" s="61">
        <v>3</v>
      </c>
      <c r="B47" s="62">
        <v>2251890</v>
      </c>
      <c r="C47" s="62">
        <v>7061.8</v>
      </c>
      <c r="D47" s="63">
        <v>1</v>
      </c>
      <c r="E47" s="63">
        <v>18.5</v>
      </c>
    </row>
    <row r="48" spans="1:5" ht="16.5" customHeight="1" x14ac:dyDescent="0.3">
      <c r="A48" s="61">
        <v>4</v>
      </c>
      <c r="B48" s="62">
        <v>2228519</v>
      </c>
      <c r="C48" s="62">
        <v>7135</v>
      </c>
      <c r="D48" s="63">
        <v>1</v>
      </c>
      <c r="E48" s="63">
        <v>18.5</v>
      </c>
    </row>
    <row r="49" spans="1:7" ht="16.5" customHeight="1" x14ac:dyDescent="0.3">
      <c r="A49" s="61">
        <v>5</v>
      </c>
      <c r="B49" s="62">
        <v>2206512</v>
      </c>
      <c r="C49" s="62">
        <v>7182.3</v>
      </c>
      <c r="D49" s="63">
        <v>1</v>
      </c>
      <c r="E49" s="63">
        <v>18.399999999999999</v>
      </c>
    </row>
    <row r="50" spans="1:7" ht="16.5" customHeight="1" x14ac:dyDescent="0.3">
      <c r="A50" s="61">
        <v>6</v>
      </c>
      <c r="B50" s="62">
        <v>2172433</v>
      </c>
      <c r="C50" s="65">
        <v>7232.3</v>
      </c>
      <c r="D50" s="66">
        <v>1</v>
      </c>
      <c r="E50" s="66">
        <v>18.399999999999999</v>
      </c>
    </row>
    <row r="51" spans="1:7" ht="16.5" customHeight="1" x14ac:dyDescent="0.3">
      <c r="A51" s="67" t="s">
        <v>18</v>
      </c>
      <c r="B51" s="68">
        <f>AVERAGE(B45:B50)</f>
        <v>2237641.5</v>
      </c>
      <c r="C51" s="69">
        <f>AVERAGE(C45:C50)</f>
        <v>7162.6833333333343</v>
      </c>
      <c r="D51" s="70">
        <f>AVERAGE(D45:D50)</f>
        <v>1</v>
      </c>
      <c r="E51" s="70">
        <f>AVERAGE(E45:E50)</f>
        <v>18.483333333333334</v>
      </c>
    </row>
    <row r="52" spans="1:7" ht="16.5" customHeight="1" x14ac:dyDescent="0.3">
      <c r="A52" s="71" t="s">
        <v>19</v>
      </c>
      <c r="B52" s="305">
        <f>(STDEV(B45:B50)/B51)</f>
        <v>2.0261801308748464E-2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96" t="s">
        <v>25</v>
      </c>
      <c r="C59" s="296"/>
      <c r="E59" s="86" t="s">
        <v>26</v>
      </c>
      <c r="F59" s="87"/>
      <c r="G59" s="86" t="s">
        <v>27</v>
      </c>
    </row>
    <row r="60" spans="1:7" ht="15" customHeight="1" x14ac:dyDescent="0.3">
      <c r="A60" s="88" t="s">
        <v>28</v>
      </c>
      <c r="B60" s="89"/>
      <c r="C60" s="89"/>
      <c r="E60" s="89"/>
      <c r="G60" s="89"/>
    </row>
    <row r="61" spans="1:7" ht="15" customHeight="1" x14ac:dyDescent="0.3">
      <c r="A61" s="88" t="s">
        <v>29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F30" sqref="F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30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31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32</v>
      </c>
      <c r="B14" s="304"/>
      <c r="C14" s="10" t="s">
        <v>5</v>
      </c>
    </row>
    <row r="15" spans="1:7" ht="16.5" customHeight="1" x14ac:dyDescent="0.3">
      <c r="A15" s="304" t="s">
        <v>33</v>
      </c>
      <c r="B15" s="304"/>
      <c r="C15" s="10" t="s">
        <v>7</v>
      </c>
    </row>
    <row r="16" spans="1:7" ht="16.5" customHeight="1" x14ac:dyDescent="0.3">
      <c r="A16" s="304" t="s">
        <v>34</v>
      </c>
      <c r="B16" s="304"/>
      <c r="C16" s="10" t="s">
        <v>9</v>
      </c>
    </row>
    <row r="17" spans="1:5" ht="16.5" customHeight="1" x14ac:dyDescent="0.3">
      <c r="A17" s="304" t="s">
        <v>35</v>
      </c>
      <c r="B17" s="304"/>
      <c r="C17" s="10" t="s">
        <v>11</v>
      </c>
    </row>
    <row r="18" spans="1:5" ht="16.5" customHeight="1" x14ac:dyDescent="0.3">
      <c r="A18" s="304" t="s">
        <v>36</v>
      </c>
      <c r="B18" s="304"/>
      <c r="C18" s="47" t="s">
        <v>12</v>
      </c>
    </row>
    <row r="19" spans="1:5" ht="16.5" customHeight="1" x14ac:dyDescent="0.3">
      <c r="A19" s="304" t="s">
        <v>37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38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966.36</v>
      </c>
      <c r="D24" s="37">
        <f t="shared" ref="D24:D43" si="0">(C24-$C$46)/$C$46</f>
        <v>4.6742574833862861E-3</v>
      </c>
      <c r="E24" s="3"/>
    </row>
    <row r="25" spans="1:5" ht="15.75" customHeight="1" x14ac:dyDescent="0.3">
      <c r="C25" s="45">
        <v>961.19</v>
      </c>
      <c r="D25" s="38">
        <f t="shared" si="0"/>
        <v>-7.0072276330135211E-4</v>
      </c>
      <c r="E25" s="3"/>
    </row>
    <row r="26" spans="1:5" ht="15.75" customHeight="1" x14ac:dyDescent="0.3">
      <c r="C26" s="45">
        <v>971.03</v>
      </c>
      <c r="D26" s="38">
        <f t="shared" si="0"/>
        <v>9.5294137216902029E-3</v>
      </c>
      <c r="E26" s="3"/>
    </row>
    <row r="27" spans="1:5" ht="15.75" customHeight="1" x14ac:dyDescent="0.3">
      <c r="C27" s="45">
        <v>968.92</v>
      </c>
      <c r="D27" s="38">
        <f t="shared" si="0"/>
        <v>7.3357564063108831E-3</v>
      </c>
      <c r="E27" s="3"/>
    </row>
    <row r="28" spans="1:5" ht="15.75" customHeight="1" x14ac:dyDescent="0.3">
      <c r="C28" s="45">
        <v>935.98</v>
      </c>
      <c r="D28" s="38">
        <f t="shared" si="0"/>
        <v>-2.6910249266008629E-2</v>
      </c>
      <c r="E28" s="3"/>
    </row>
    <row r="29" spans="1:5" ht="15.75" customHeight="1" x14ac:dyDescent="0.3">
      <c r="C29" s="45">
        <v>962.03</v>
      </c>
      <c r="D29" s="38">
        <f t="shared" si="0"/>
        <v>1.7258157078321496E-4</v>
      </c>
      <c r="E29" s="3"/>
    </row>
    <row r="30" spans="1:5" ht="15.75" customHeight="1" x14ac:dyDescent="0.3">
      <c r="C30" s="45">
        <v>960.96</v>
      </c>
      <c r="D30" s="38">
        <f t="shared" si="0"/>
        <v>-9.3984180715788292E-4</v>
      </c>
      <c r="E30" s="3"/>
    </row>
    <row r="31" spans="1:5" ht="15.75" customHeight="1" x14ac:dyDescent="0.3">
      <c r="C31" s="45">
        <v>961.72</v>
      </c>
      <c r="D31" s="38">
        <f t="shared" si="0"/>
        <v>-1.4970931441463567E-4</v>
      </c>
      <c r="E31" s="3"/>
    </row>
    <row r="32" spans="1:5" ht="15.75" customHeight="1" x14ac:dyDescent="0.3">
      <c r="C32" s="45">
        <v>965.59</v>
      </c>
      <c r="D32" s="38">
        <f t="shared" si="0"/>
        <v>3.8737285104753737E-3</v>
      </c>
      <c r="E32" s="3"/>
    </row>
    <row r="33" spans="1:7" ht="15.75" customHeight="1" x14ac:dyDescent="0.3">
      <c r="C33" s="45">
        <v>1025.69</v>
      </c>
      <c r="D33" s="38">
        <f t="shared" si="0"/>
        <v>6.6356574318198719E-2</v>
      </c>
      <c r="E33" s="3"/>
    </row>
    <row r="34" spans="1:7" ht="15.75" customHeight="1" x14ac:dyDescent="0.3">
      <c r="C34" s="45">
        <v>961.2</v>
      </c>
      <c r="D34" s="38">
        <f t="shared" si="0"/>
        <v>-6.9032628313368718E-4</v>
      </c>
      <c r="E34" s="3"/>
    </row>
    <row r="35" spans="1:7" ht="15.75" customHeight="1" x14ac:dyDescent="0.3">
      <c r="C35" s="45">
        <v>970.42</v>
      </c>
      <c r="D35" s="38">
        <f t="shared" si="0"/>
        <v>8.8952284314620482E-3</v>
      </c>
      <c r="E35" s="3"/>
    </row>
    <row r="36" spans="1:7" ht="15.75" customHeight="1" x14ac:dyDescent="0.3">
      <c r="C36" s="45">
        <v>953.24</v>
      </c>
      <c r="D36" s="38">
        <f t="shared" si="0"/>
        <v>-8.9659244966025717E-3</v>
      </c>
      <c r="E36" s="3"/>
    </row>
    <row r="37" spans="1:7" ht="15.75" customHeight="1" x14ac:dyDescent="0.3">
      <c r="C37" s="45">
        <v>937.71</v>
      </c>
      <c r="D37" s="38">
        <f t="shared" si="0"/>
        <v>-2.5111658197000935E-2</v>
      </c>
      <c r="E37" s="3"/>
    </row>
    <row r="38" spans="1:7" ht="15.75" customHeight="1" x14ac:dyDescent="0.3">
      <c r="C38" s="45">
        <v>948.53</v>
      </c>
      <c r="D38" s="38">
        <f t="shared" si="0"/>
        <v>-1.3862666655577267E-2</v>
      </c>
      <c r="E38" s="3"/>
    </row>
    <row r="39" spans="1:7" ht="15.75" customHeight="1" x14ac:dyDescent="0.3">
      <c r="C39" s="45">
        <v>952.31</v>
      </c>
      <c r="D39" s="38">
        <f t="shared" si="0"/>
        <v>-9.9327971521963598E-3</v>
      </c>
      <c r="E39" s="3"/>
    </row>
    <row r="40" spans="1:7" ht="15.75" customHeight="1" x14ac:dyDescent="0.3">
      <c r="C40" s="45">
        <v>949.4</v>
      </c>
      <c r="D40" s="38">
        <f t="shared" si="0"/>
        <v>-1.2958172880989586E-2</v>
      </c>
      <c r="E40" s="3"/>
    </row>
    <row r="41" spans="1:7" ht="15.75" customHeight="1" x14ac:dyDescent="0.3">
      <c r="C41" s="45">
        <v>946.96</v>
      </c>
      <c r="D41" s="38">
        <f t="shared" si="0"/>
        <v>-1.5494914041902086E-2</v>
      </c>
      <c r="E41" s="3"/>
    </row>
    <row r="42" spans="1:7" ht="15.75" customHeight="1" x14ac:dyDescent="0.3">
      <c r="C42" s="45">
        <v>963.64</v>
      </c>
      <c r="D42" s="38">
        <f t="shared" si="0"/>
        <v>1.8464148777788125E-3</v>
      </c>
      <c r="E42" s="3"/>
    </row>
    <row r="43" spans="1:7" ht="16.5" customHeight="1" x14ac:dyDescent="0.3">
      <c r="C43" s="46">
        <v>974.4</v>
      </c>
      <c r="D43" s="39">
        <f t="shared" si="0"/>
        <v>1.303302753819649E-2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19237.280000000002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961.86400000000015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297">
        <f>C46</f>
        <v>961.86400000000015</v>
      </c>
      <c r="C49" s="43">
        <f>-IF(C46&lt;=80,10%,IF(C46&lt;250,7.5%,5%))</f>
        <v>-0.05</v>
      </c>
      <c r="D49" s="31">
        <f>IF(C46&lt;=80,C46*0.9,IF(C46&lt;250,C46*0.925,C46*0.95))</f>
        <v>913.77080000000012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1009.9572000000002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B3F3"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8" zoomScale="46" zoomScaleNormal="40" zoomScalePageLayoutView="46" workbookViewId="0">
      <selection activeCell="G107" sqref="G107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286" t="s">
        <v>47</v>
      </c>
      <c r="B1" s="286"/>
      <c r="C1" s="286"/>
      <c r="D1" s="286"/>
      <c r="E1" s="286"/>
      <c r="F1" s="286"/>
      <c r="G1" s="286"/>
      <c r="H1" s="286"/>
      <c r="I1" s="286"/>
    </row>
    <row r="2" spans="1:9" ht="18.75" customHeight="1" x14ac:dyDescent="0.25">
      <c r="A2" s="286"/>
      <c r="B2" s="286"/>
      <c r="C2" s="286"/>
      <c r="D2" s="286"/>
      <c r="E2" s="286"/>
      <c r="F2" s="286"/>
      <c r="G2" s="286"/>
      <c r="H2" s="286"/>
      <c r="I2" s="286"/>
    </row>
    <row r="3" spans="1:9" ht="18.75" customHeight="1" x14ac:dyDescent="0.25">
      <c r="A3" s="286"/>
      <c r="B3" s="286"/>
      <c r="C3" s="286"/>
      <c r="D3" s="286"/>
      <c r="E3" s="286"/>
      <c r="F3" s="286"/>
      <c r="G3" s="286"/>
      <c r="H3" s="286"/>
      <c r="I3" s="286"/>
    </row>
    <row r="4" spans="1:9" ht="18.75" customHeight="1" x14ac:dyDescent="0.25">
      <c r="A4" s="286"/>
      <c r="B4" s="286"/>
      <c r="C4" s="286"/>
      <c r="D4" s="286"/>
      <c r="E4" s="286"/>
      <c r="F4" s="286"/>
      <c r="G4" s="286"/>
      <c r="H4" s="286"/>
      <c r="I4" s="286"/>
    </row>
    <row r="5" spans="1:9" ht="18.75" customHeight="1" x14ac:dyDescent="0.25">
      <c r="A5" s="286"/>
      <c r="B5" s="286"/>
      <c r="C5" s="286"/>
      <c r="D5" s="286"/>
      <c r="E5" s="286"/>
      <c r="F5" s="286"/>
      <c r="G5" s="286"/>
      <c r="H5" s="286"/>
      <c r="I5" s="286"/>
    </row>
    <row r="6" spans="1:9" ht="18.75" customHeight="1" x14ac:dyDescent="0.25">
      <c r="A6" s="286"/>
      <c r="B6" s="286"/>
      <c r="C6" s="286"/>
      <c r="D6" s="286"/>
      <c r="E6" s="286"/>
      <c r="F6" s="286"/>
      <c r="G6" s="286"/>
      <c r="H6" s="286"/>
      <c r="I6" s="286"/>
    </row>
    <row r="7" spans="1:9" ht="18.75" customHeight="1" x14ac:dyDescent="0.25">
      <c r="A7" s="286"/>
      <c r="B7" s="286"/>
      <c r="C7" s="286"/>
      <c r="D7" s="286"/>
      <c r="E7" s="286"/>
      <c r="F7" s="286"/>
      <c r="G7" s="286"/>
      <c r="H7" s="286"/>
      <c r="I7" s="286"/>
    </row>
    <row r="8" spans="1:9" x14ac:dyDescent="0.25">
      <c r="A8" s="287" t="s">
        <v>48</v>
      </c>
      <c r="B8" s="287"/>
      <c r="C8" s="287"/>
      <c r="D8" s="287"/>
      <c r="E8" s="287"/>
      <c r="F8" s="287"/>
      <c r="G8" s="287"/>
      <c r="H8" s="287"/>
      <c r="I8" s="287"/>
    </row>
    <row r="9" spans="1:9" x14ac:dyDescent="0.25">
      <c r="A9" s="287"/>
      <c r="B9" s="287"/>
      <c r="C9" s="287"/>
      <c r="D9" s="287"/>
      <c r="E9" s="287"/>
      <c r="F9" s="287"/>
      <c r="G9" s="287"/>
      <c r="H9" s="287"/>
      <c r="I9" s="287"/>
    </row>
    <row r="10" spans="1:9" x14ac:dyDescent="0.25">
      <c r="A10" s="287"/>
      <c r="B10" s="287"/>
      <c r="C10" s="287"/>
      <c r="D10" s="287"/>
      <c r="E10" s="287"/>
      <c r="F10" s="287"/>
      <c r="G10" s="287"/>
      <c r="H10" s="287"/>
      <c r="I10" s="287"/>
    </row>
    <row r="11" spans="1:9" x14ac:dyDescent="0.25">
      <c r="A11" s="287"/>
      <c r="B11" s="287"/>
      <c r="C11" s="287"/>
      <c r="D11" s="287"/>
      <c r="E11" s="287"/>
      <c r="F11" s="287"/>
      <c r="G11" s="287"/>
      <c r="H11" s="287"/>
      <c r="I11" s="287"/>
    </row>
    <row r="12" spans="1:9" x14ac:dyDescent="0.25">
      <c r="A12" s="287"/>
      <c r="B12" s="287"/>
      <c r="C12" s="287"/>
      <c r="D12" s="287"/>
      <c r="E12" s="287"/>
      <c r="F12" s="287"/>
      <c r="G12" s="287"/>
      <c r="H12" s="287"/>
      <c r="I12" s="287"/>
    </row>
    <row r="13" spans="1:9" x14ac:dyDescent="0.25">
      <c r="A13" s="287"/>
      <c r="B13" s="287"/>
      <c r="C13" s="287"/>
      <c r="D13" s="287"/>
      <c r="E13" s="287"/>
      <c r="F13" s="287"/>
      <c r="G13" s="287"/>
      <c r="H13" s="287"/>
      <c r="I13" s="287"/>
    </row>
    <row r="14" spans="1:9" x14ac:dyDescent="0.25">
      <c r="A14" s="287"/>
      <c r="B14" s="287"/>
      <c r="C14" s="287"/>
      <c r="D14" s="287"/>
      <c r="E14" s="287"/>
      <c r="F14" s="287"/>
      <c r="G14" s="287"/>
      <c r="H14" s="287"/>
      <c r="I14" s="287"/>
    </row>
    <row r="15" spans="1:9" ht="19.5" customHeight="1" thickBot="1" x14ac:dyDescent="0.35">
      <c r="A15" s="93"/>
    </row>
    <row r="16" spans="1:9" ht="19.5" customHeight="1" thickBot="1" x14ac:dyDescent="0.35">
      <c r="A16" s="288" t="s">
        <v>30</v>
      </c>
      <c r="B16" s="289"/>
      <c r="C16" s="289"/>
      <c r="D16" s="289"/>
      <c r="E16" s="289"/>
      <c r="F16" s="289"/>
      <c r="G16" s="289"/>
      <c r="H16" s="290"/>
    </row>
    <row r="17" spans="1:14" ht="20.25" customHeight="1" x14ac:dyDescent="0.25">
      <c r="A17" s="291" t="s">
        <v>49</v>
      </c>
      <c r="B17" s="291"/>
      <c r="C17" s="291"/>
      <c r="D17" s="291"/>
      <c r="E17" s="291"/>
      <c r="F17" s="291"/>
      <c r="G17" s="291"/>
      <c r="H17" s="291"/>
    </row>
    <row r="18" spans="1:14" ht="26.25" customHeight="1" x14ac:dyDescent="0.4">
      <c r="A18" s="95" t="s">
        <v>32</v>
      </c>
      <c r="B18" s="292" t="s">
        <v>44</v>
      </c>
      <c r="C18" s="292"/>
      <c r="D18" s="96"/>
      <c r="E18" s="97"/>
      <c r="F18" s="98"/>
      <c r="G18" s="98"/>
      <c r="H18" s="98"/>
    </row>
    <row r="19" spans="1:14" ht="26.25" customHeight="1" x14ac:dyDescent="0.4">
      <c r="A19" s="95" t="s">
        <v>33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34</v>
      </c>
      <c r="B20" s="293" t="s">
        <v>9</v>
      </c>
      <c r="C20" s="293"/>
      <c r="D20" s="98"/>
      <c r="E20" s="98"/>
      <c r="F20" s="98"/>
      <c r="G20" s="98"/>
      <c r="H20" s="98"/>
    </row>
    <row r="21" spans="1:14" ht="26.25" customHeight="1" x14ac:dyDescent="0.4">
      <c r="A21" s="95" t="s">
        <v>35</v>
      </c>
      <c r="B21" s="293" t="s">
        <v>50</v>
      </c>
      <c r="C21" s="293"/>
      <c r="D21" s="293"/>
      <c r="E21" s="293"/>
      <c r="F21" s="293"/>
      <c r="G21" s="293"/>
      <c r="H21" s="293"/>
      <c r="I21" s="100"/>
    </row>
    <row r="22" spans="1:14" ht="26.25" customHeight="1" x14ac:dyDescent="0.4">
      <c r="A22" s="95" t="s">
        <v>36</v>
      </c>
      <c r="B22" s="101">
        <v>42565.302384259259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37</v>
      </c>
      <c r="B23" s="101">
        <v>42569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292" t="s">
        <v>51</v>
      </c>
      <c r="C26" s="292"/>
    </row>
    <row r="27" spans="1:14" ht="26.25" customHeight="1" x14ac:dyDescent="0.4">
      <c r="A27" s="105" t="s">
        <v>52</v>
      </c>
      <c r="B27" s="294" t="s">
        <v>53</v>
      </c>
      <c r="C27" s="294"/>
    </row>
    <row r="28" spans="1:14" ht="27" customHeight="1" thickBot="1" x14ac:dyDescent="0.45">
      <c r="A28" s="105" t="s">
        <v>6</v>
      </c>
      <c r="B28" s="106">
        <v>99.65</v>
      </c>
    </row>
    <row r="29" spans="1:14" s="108" customFormat="1" ht="27" customHeight="1" thickBot="1" x14ac:dyDescent="0.45">
      <c r="A29" s="105" t="s">
        <v>54</v>
      </c>
      <c r="B29" s="107">
        <v>0</v>
      </c>
      <c r="C29" s="275" t="s">
        <v>55</v>
      </c>
      <c r="D29" s="276"/>
      <c r="E29" s="276"/>
      <c r="F29" s="276"/>
      <c r="G29" s="277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56</v>
      </c>
      <c r="B30" s="110">
        <f>B28-B29</f>
        <v>99.65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57</v>
      </c>
      <c r="B31" s="113">
        <v>424.39</v>
      </c>
      <c r="C31" s="278" t="s">
        <v>58</v>
      </c>
      <c r="D31" s="279"/>
      <c r="E31" s="279"/>
      <c r="F31" s="279"/>
      <c r="G31" s="279"/>
      <c r="H31" s="280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59</v>
      </c>
      <c r="B32" s="113">
        <v>510.47</v>
      </c>
      <c r="C32" s="278" t="s">
        <v>60</v>
      </c>
      <c r="D32" s="279"/>
      <c r="E32" s="279"/>
      <c r="F32" s="279"/>
      <c r="G32" s="279"/>
      <c r="H32" s="280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61</v>
      </c>
      <c r="B34" s="118">
        <f>B31/B32</f>
        <v>0.8313710893882108</v>
      </c>
      <c r="C34" s="93" t="s">
        <v>62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63</v>
      </c>
      <c r="B36" s="120"/>
      <c r="C36" s="93"/>
      <c r="D36" s="265" t="s">
        <v>64</v>
      </c>
      <c r="E36" s="285"/>
      <c r="F36" s="265" t="s">
        <v>65</v>
      </c>
      <c r="G36" s="266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66</v>
      </c>
      <c r="B37" s="122"/>
      <c r="C37" s="123" t="s">
        <v>67</v>
      </c>
      <c r="D37" s="124" t="s">
        <v>68</v>
      </c>
      <c r="E37" s="125" t="s">
        <v>69</v>
      </c>
      <c r="F37" s="124" t="s">
        <v>68</v>
      </c>
      <c r="G37" s="126" t="s">
        <v>69</v>
      </c>
      <c r="I37" s="127" t="s">
        <v>70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71</v>
      </c>
      <c r="B38" s="122"/>
      <c r="C38" s="128">
        <v>1</v>
      </c>
      <c r="D38" s="129"/>
      <c r="E38" s="130" t="str">
        <f>IF(ISBLANK(D38),"-",$D$48/$D$45*D38)</f>
        <v>-</v>
      </c>
      <c r="F38" s="129"/>
      <c r="G38" s="131" t="str">
        <f>IF(ISBLANK(F38),"-",$D$48/$F$45*F38)</f>
        <v>-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72</v>
      </c>
      <c r="B39" s="122"/>
      <c r="C39" s="133">
        <v>2</v>
      </c>
      <c r="D39" s="134"/>
      <c r="E39" s="135" t="str">
        <f>IF(ISBLANK(D39),"-",$D$48/$D$45*D39)</f>
        <v>-</v>
      </c>
      <c r="F39" s="134"/>
      <c r="G39" s="136" t="str">
        <f>IF(ISBLANK(F39),"-",$D$48/$F$45*F39)</f>
        <v>-</v>
      </c>
      <c r="I39" s="256" t="e">
        <f>ABS((F43/D43*D42)-F42)/D42</f>
        <v>#DIV/0!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73</v>
      </c>
      <c r="B40" s="122"/>
      <c r="C40" s="133">
        <v>3</v>
      </c>
      <c r="D40" s="134"/>
      <c r="E40" s="135" t="str">
        <f>IF(ISBLANK(D40),"-",$D$48/$D$45*D40)</f>
        <v>-</v>
      </c>
      <c r="F40" s="134"/>
      <c r="G40" s="136" t="str">
        <f>IF(ISBLANK(F40),"-",$D$48/$F$45*F40)</f>
        <v>-</v>
      </c>
      <c r="I40" s="256"/>
      <c r="L40" s="114"/>
      <c r="M40" s="114"/>
      <c r="N40" s="93"/>
    </row>
    <row r="41" spans="1:14" ht="27" customHeight="1" thickBot="1" x14ac:dyDescent="0.45">
      <c r="A41" s="121" t="s">
        <v>74</v>
      </c>
      <c r="B41" s="122"/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75</v>
      </c>
      <c r="B42" s="122"/>
      <c r="C42" s="142" t="s">
        <v>76</v>
      </c>
      <c r="D42" s="143" t="e">
        <f>AVERAGE(D38:D41)</f>
        <v>#DIV/0!</v>
      </c>
      <c r="E42" s="144" t="e">
        <f>AVERAGE(E38:E41)</f>
        <v>#DIV/0!</v>
      </c>
      <c r="F42" s="143" t="e">
        <f>AVERAGE(F38:F41)</f>
        <v>#DIV/0!</v>
      </c>
      <c r="G42" s="145" t="e">
        <f>AVERAGE(G38:G41)</f>
        <v>#DIV/0!</v>
      </c>
      <c r="H42" s="146"/>
    </row>
    <row r="43" spans="1:14" ht="26.25" customHeight="1" x14ac:dyDescent="0.4">
      <c r="A43" s="121" t="s">
        <v>77</v>
      </c>
      <c r="B43" s="122"/>
      <c r="C43" s="147" t="s">
        <v>78</v>
      </c>
      <c r="D43" s="148"/>
      <c r="E43" s="93"/>
      <c r="F43" s="148"/>
      <c r="H43" s="146"/>
    </row>
    <row r="44" spans="1:14" ht="26.25" customHeight="1" x14ac:dyDescent="0.4">
      <c r="A44" s="121" t="s">
        <v>79</v>
      </c>
      <c r="B44" s="122"/>
      <c r="C44" s="149" t="s">
        <v>80</v>
      </c>
      <c r="D44" s="150">
        <f>D43*$B$34</f>
        <v>0</v>
      </c>
      <c r="E44" s="151"/>
      <c r="F44" s="150">
        <f>F43*$B$34</f>
        <v>0</v>
      </c>
      <c r="H44" s="146"/>
    </row>
    <row r="45" spans="1:14" ht="19.5" customHeight="1" thickBot="1" x14ac:dyDescent="0.35">
      <c r="A45" s="121" t="s">
        <v>81</v>
      </c>
      <c r="B45" s="133" t="e">
        <f>(B44/B43)*(B42/B41)*(B40/B39)*(B38/B37)*B36</f>
        <v>#DIV/0!</v>
      </c>
      <c r="C45" s="149" t="s">
        <v>82</v>
      </c>
      <c r="D45" s="152">
        <f>D44*$B$30/100</f>
        <v>0</v>
      </c>
      <c r="E45" s="153"/>
      <c r="F45" s="152">
        <f>F44*$B$30/100</f>
        <v>0</v>
      </c>
      <c r="H45" s="146"/>
    </row>
    <row r="46" spans="1:14" ht="19.5" customHeight="1" thickBot="1" x14ac:dyDescent="0.35">
      <c r="A46" s="257" t="s">
        <v>83</v>
      </c>
      <c r="B46" s="261"/>
      <c r="C46" s="149" t="s">
        <v>84</v>
      </c>
      <c r="D46" s="154" t="e">
        <f>D45/$B$45</f>
        <v>#DIV/0!</v>
      </c>
      <c r="E46" s="155"/>
      <c r="F46" s="156" t="e">
        <f>F45/$B$45</f>
        <v>#DIV/0!</v>
      </c>
      <c r="H46" s="146"/>
    </row>
    <row r="47" spans="1:14" ht="27" customHeight="1" thickBot="1" x14ac:dyDescent="0.45">
      <c r="A47" s="259"/>
      <c r="B47" s="262"/>
      <c r="C47" s="157" t="s">
        <v>85</v>
      </c>
      <c r="D47" s="158">
        <v>0.24</v>
      </c>
      <c r="E47" s="159"/>
      <c r="F47" s="155"/>
      <c r="H47" s="146"/>
    </row>
    <row r="48" spans="1:14" ht="18.75" x14ac:dyDescent="0.3">
      <c r="C48" s="160" t="s">
        <v>86</v>
      </c>
      <c r="D48" s="152" t="e">
        <f>D47*$B$45</f>
        <v>#DIV/0!</v>
      </c>
      <c r="F48" s="161"/>
      <c r="H48" s="146"/>
    </row>
    <row r="49" spans="1:12" ht="19.5" customHeight="1" thickBot="1" x14ac:dyDescent="0.35">
      <c r="C49" s="162" t="s">
        <v>87</v>
      </c>
      <c r="D49" s="163" t="e">
        <f>D48/B34</f>
        <v>#DIV/0!</v>
      </c>
      <c r="F49" s="161"/>
      <c r="H49" s="146"/>
    </row>
    <row r="50" spans="1:12" ht="18.75" x14ac:dyDescent="0.3">
      <c r="C50" s="119" t="s">
        <v>88</v>
      </c>
      <c r="D50" s="164" t="e">
        <f>AVERAGE(E38:E41,G38:G41)</f>
        <v>#DIV/0!</v>
      </c>
      <c r="F50" s="165"/>
      <c r="H50" s="146"/>
    </row>
    <row r="51" spans="1:12" ht="18.75" x14ac:dyDescent="0.3">
      <c r="C51" s="121" t="s">
        <v>89</v>
      </c>
      <c r="D51" s="166" t="e">
        <f>STDEV(E38:E41,G38:G41)/D50</f>
        <v>#DIV/0!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0</v>
      </c>
      <c r="F52" s="165"/>
    </row>
    <row r="54" spans="1:12" ht="18.75" x14ac:dyDescent="0.3">
      <c r="A54" s="169" t="s">
        <v>1</v>
      </c>
      <c r="B54" s="170" t="s">
        <v>90</v>
      </c>
    </row>
    <row r="55" spans="1:12" ht="18.75" x14ac:dyDescent="0.3">
      <c r="A55" s="93" t="s">
        <v>91</v>
      </c>
      <c r="B55" s="171" t="str">
        <f>B21</f>
        <v>Each tablet contains Cefuroxime axetil USP 250 mg</v>
      </c>
    </row>
    <row r="56" spans="1:12" ht="26.25" customHeight="1" x14ac:dyDescent="0.4">
      <c r="A56" s="171" t="s">
        <v>92</v>
      </c>
      <c r="B56" s="172">
        <v>500</v>
      </c>
      <c r="C56" s="93" t="str">
        <f>B20</f>
        <v xml:space="preserve">Cefuroxime Axetil </v>
      </c>
      <c r="H56" s="151"/>
    </row>
    <row r="57" spans="1:12" ht="18.75" x14ac:dyDescent="0.3">
      <c r="A57" s="171" t="s">
        <v>93</v>
      </c>
      <c r="B57" s="173">
        <f>Uniformity!C46</f>
        <v>961.86400000000015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94</v>
      </c>
      <c r="B59" s="120"/>
      <c r="C59" s="93"/>
      <c r="D59" s="174" t="s">
        <v>95</v>
      </c>
      <c r="E59" s="175" t="s">
        <v>67</v>
      </c>
      <c r="F59" s="175" t="s">
        <v>68</v>
      </c>
      <c r="G59" s="175" t="s">
        <v>96</v>
      </c>
      <c r="H59" s="123" t="s">
        <v>97</v>
      </c>
      <c r="L59" s="109"/>
    </row>
    <row r="60" spans="1:12" s="108" customFormat="1" ht="26.25" customHeight="1" x14ac:dyDescent="0.4">
      <c r="A60" s="121" t="s">
        <v>98</v>
      </c>
      <c r="B60" s="122"/>
      <c r="C60" s="267" t="s">
        <v>99</v>
      </c>
      <c r="D60" s="270"/>
      <c r="E60" s="176">
        <v>1</v>
      </c>
      <c r="F60" s="177"/>
      <c r="G60" s="178" t="str">
        <f>IF(ISBLANK(F60),"-",(F60/$D$50*$D$47*$B$68)*($B$57/$D$60))</f>
        <v>-</v>
      </c>
      <c r="H60" s="179" t="str">
        <f t="shared" ref="H60:H71" si="0">IF(ISBLANK(F60),"-",G60/$B$56)</f>
        <v>-</v>
      </c>
      <c r="L60" s="109"/>
    </row>
    <row r="61" spans="1:12" s="108" customFormat="1" ht="26.25" customHeight="1" x14ac:dyDescent="0.4">
      <c r="A61" s="121" t="s">
        <v>100</v>
      </c>
      <c r="B61" s="122"/>
      <c r="C61" s="268"/>
      <c r="D61" s="271"/>
      <c r="E61" s="180">
        <v>2</v>
      </c>
      <c r="F61" s="134"/>
      <c r="G61" s="181" t="str">
        <f>IF(ISBLANK(F61),"-",(F61/$D$50*$D$47*$B$68)*($B$57/$D$60))</f>
        <v>-</v>
      </c>
      <c r="H61" s="182" t="str">
        <f t="shared" si="0"/>
        <v>-</v>
      </c>
      <c r="L61" s="109"/>
    </row>
    <row r="62" spans="1:12" s="108" customFormat="1" ht="26.25" customHeight="1" x14ac:dyDescent="0.4">
      <c r="A62" s="121" t="s">
        <v>101</v>
      </c>
      <c r="B62" s="122"/>
      <c r="C62" s="268"/>
      <c r="D62" s="271"/>
      <c r="E62" s="180">
        <v>3</v>
      </c>
      <c r="F62" s="183"/>
      <c r="G62" s="181" t="str">
        <f>IF(ISBLANK(F62),"-",(F62/$D$50*$D$47*$B$68)*($B$57/$D$60))</f>
        <v>-</v>
      </c>
      <c r="H62" s="182" t="str">
        <f t="shared" si="0"/>
        <v>-</v>
      </c>
      <c r="L62" s="109"/>
    </row>
    <row r="63" spans="1:12" ht="27" customHeight="1" thickBot="1" x14ac:dyDescent="0.45">
      <c r="A63" s="121" t="s">
        <v>102</v>
      </c>
      <c r="B63" s="122"/>
      <c r="C63" s="269"/>
      <c r="D63" s="272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103</v>
      </c>
      <c r="B64" s="122"/>
      <c r="C64" s="267" t="s">
        <v>104</v>
      </c>
      <c r="D64" s="270"/>
      <c r="E64" s="176">
        <v>1</v>
      </c>
      <c r="F64" s="177"/>
      <c r="G64" s="186" t="str">
        <f>IF(ISBLANK(F64),"-",(F64/$D$50*$D$47*$B$68)*($B$57/$D$64))</f>
        <v>-</v>
      </c>
      <c r="H64" s="187" t="str">
        <f t="shared" si="0"/>
        <v>-</v>
      </c>
    </row>
    <row r="65" spans="1:8" ht="26.25" customHeight="1" x14ac:dyDescent="0.4">
      <c r="A65" s="121" t="s">
        <v>105</v>
      </c>
      <c r="B65" s="122"/>
      <c r="C65" s="268"/>
      <c r="D65" s="271"/>
      <c r="E65" s="180">
        <v>2</v>
      </c>
      <c r="F65" s="134"/>
      <c r="G65" s="188" t="str">
        <f>IF(ISBLANK(F65),"-",(F65/$D$50*$D$47*$B$68)*($B$57/$D$64))</f>
        <v>-</v>
      </c>
      <c r="H65" s="189" t="str">
        <f t="shared" si="0"/>
        <v>-</v>
      </c>
    </row>
    <row r="66" spans="1:8" ht="26.25" customHeight="1" x14ac:dyDescent="0.4">
      <c r="A66" s="121" t="s">
        <v>106</v>
      </c>
      <c r="B66" s="122"/>
      <c r="C66" s="268"/>
      <c r="D66" s="271"/>
      <c r="E66" s="180">
        <v>3</v>
      </c>
      <c r="F66" s="134"/>
      <c r="G66" s="188" t="str">
        <f>IF(ISBLANK(F66),"-",(F66/$D$50*$D$47*$B$68)*($B$57/$D$64))</f>
        <v>-</v>
      </c>
      <c r="H66" s="189" t="str">
        <f t="shared" si="0"/>
        <v>-</v>
      </c>
    </row>
    <row r="67" spans="1:8" ht="27" customHeight="1" thickBot="1" x14ac:dyDescent="0.45">
      <c r="A67" s="121" t="s">
        <v>107</v>
      </c>
      <c r="B67" s="122"/>
      <c r="C67" s="269"/>
      <c r="D67" s="272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1" t="s">
        <v>108</v>
      </c>
      <c r="B68" s="192"/>
      <c r="C68" s="267" t="s">
        <v>109</v>
      </c>
      <c r="D68" s="270"/>
      <c r="E68" s="176">
        <v>1</v>
      </c>
      <c r="F68" s="177"/>
      <c r="G68" s="186" t="str">
        <f>IF(ISBLANK(F68),"-",(F68/$D$50*$D$47*$B$68)*($B$57/$D$68))</f>
        <v>-</v>
      </c>
      <c r="H68" s="182" t="str">
        <f t="shared" si="0"/>
        <v>-</v>
      </c>
    </row>
    <row r="69" spans="1:8" ht="27" customHeight="1" thickBot="1" x14ac:dyDescent="0.45">
      <c r="A69" s="167" t="s">
        <v>110</v>
      </c>
      <c r="B69" s="193"/>
      <c r="C69" s="268"/>
      <c r="D69" s="271"/>
      <c r="E69" s="180">
        <v>2</v>
      </c>
      <c r="F69" s="134"/>
      <c r="G69" s="188" t="str">
        <f>IF(ISBLANK(F69),"-",(F69/$D$50*$D$47*$B$68)*($B$57/$D$68))</f>
        <v>-</v>
      </c>
      <c r="H69" s="182" t="str">
        <f t="shared" si="0"/>
        <v>-</v>
      </c>
    </row>
    <row r="70" spans="1:8" ht="26.25" customHeight="1" x14ac:dyDescent="0.4">
      <c r="A70" s="281" t="s">
        <v>83</v>
      </c>
      <c r="B70" s="282"/>
      <c r="C70" s="268"/>
      <c r="D70" s="271"/>
      <c r="E70" s="180">
        <v>3</v>
      </c>
      <c r="F70" s="134"/>
      <c r="G70" s="188" t="str">
        <f>IF(ISBLANK(F70),"-",(F70/$D$50*$D$47*$B$68)*($B$57/$D$68))</f>
        <v>-</v>
      </c>
      <c r="H70" s="182" t="str">
        <f t="shared" si="0"/>
        <v>-</v>
      </c>
    </row>
    <row r="71" spans="1:8" ht="27" customHeight="1" thickBot="1" x14ac:dyDescent="0.45">
      <c r="A71" s="283"/>
      <c r="B71" s="284"/>
      <c r="C71" s="273"/>
      <c r="D71" s="272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5" t="s">
        <v>76</v>
      </c>
      <c r="G72" s="196" t="e">
        <f>AVERAGE(G60:G71)</f>
        <v>#DIV/0!</v>
      </c>
      <c r="H72" s="197" t="e">
        <f>AVERAGE(H60:H71)</f>
        <v>#DIV/0!</v>
      </c>
    </row>
    <row r="73" spans="1:8" ht="26.25" customHeight="1" x14ac:dyDescent="0.4">
      <c r="C73" s="151"/>
      <c r="D73" s="151"/>
      <c r="E73" s="151"/>
      <c r="F73" s="198" t="s">
        <v>89</v>
      </c>
      <c r="G73" s="199" t="e">
        <f>STDEV(G60:G71)/G72</f>
        <v>#DIV/0!</v>
      </c>
      <c r="H73" s="199" t="e">
        <f>STDEV(H60:H71)/H72</f>
        <v>#DIV/0!</v>
      </c>
    </row>
    <row r="74" spans="1:8" ht="27" customHeight="1" thickBot="1" x14ac:dyDescent="0.45">
      <c r="A74" s="151"/>
      <c r="B74" s="151"/>
      <c r="C74" s="151"/>
      <c r="D74" s="151"/>
      <c r="E74" s="153"/>
      <c r="F74" s="200" t="s">
        <v>20</v>
      </c>
      <c r="G74" s="201">
        <f>COUNT(G60:G71)</f>
        <v>0</v>
      </c>
      <c r="H74" s="201">
        <f>COUNT(H60:H71)</f>
        <v>0</v>
      </c>
    </row>
    <row r="76" spans="1:8" ht="26.25" customHeight="1" x14ac:dyDescent="0.4">
      <c r="A76" s="104" t="s">
        <v>111</v>
      </c>
      <c r="B76" s="105" t="s">
        <v>112</v>
      </c>
      <c r="C76" s="263" t="str">
        <f>B20</f>
        <v xml:space="preserve">Cefuroxime Axetil </v>
      </c>
      <c r="D76" s="263"/>
      <c r="E76" s="93" t="s">
        <v>113</v>
      </c>
      <c r="F76" s="93"/>
      <c r="G76" s="202" t="e">
        <f>H72</f>
        <v>#DIV/0!</v>
      </c>
      <c r="H76" s="110"/>
    </row>
    <row r="77" spans="1:8" ht="18.75" x14ac:dyDescent="0.3">
      <c r="A77" s="103" t="s">
        <v>114</v>
      </c>
      <c r="B77" s="103" t="s">
        <v>115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274" t="str">
        <f>B26</f>
        <v xml:space="preserve">CEFUROXIME AXETIL </v>
      </c>
      <c r="C79" s="274"/>
    </row>
    <row r="80" spans="1:8" ht="26.25" customHeight="1" x14ac:dyDescent="0.4">
      <c r="A80" s="105" t="s">
        <v>52</v>
      </c>
      <c r="B80" s="274" t="str">
        <f>B27</f>
        <v>C66-1</v>
      </c>
      <c r="C80" s="274"/>
    </row>
    <row r="81" spans="1:12" ht="27" customHeight="1" thickBot="1" x14ac:dyDescent="0.45">
      <c r="A81" s="105" t="s">
        <v>6</v>
      </c>
      <c r="B81" s="106">
        <v>96.5</v>
      </c>
    </row>
    <row r="82" spans="1:12" s="108" customFormat="1" ht="27" customHeight="1" thickBot="1" x14ac:dyDescent="0.45">
      <c r="A82" s="105" t="s">
        <v>54</v>
      </c>
      <c r="B82" s="107">
        <v>0</v>
      </c>
      <c r="C82" s="275" t="s">
        <v>55</v>
      </c>
      <c r="D82" s="276"/>
      <c r="E82" s="276"/>
      <c r="F82" s="276"/>
      <c r="G82" s="277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56</v>
      </c>
      <c r="B83" s="110">
        <f>B81-B82</f>
        <v>96.5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57</v>
      </c>
      <c r="B84" s="113">
        <v>424.39</v>
      </c>
      <c r="C84" s="278" t="s">
        <v>116</v>
      </c>
      <c r="D84" s="279"/>
      <c r="E84" s="279"/>
      <c r="F84" s="279"/>
      <c r="G84" s="279"/>
      <c r="H84" s="280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59</v>
      </c>
      <c r="B85" s="113">
        <v>510.47</v>
      </c>
      <c r="C85" s="278" t="s">
        <v>117</v>
      </c>
      <c r="D85" s="279"/>
      <c r="E85" s="279"/>
      <c r="F85" s="279"/>
      <c r="G85" s="279"/>
      <c r="H85" s="280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61</v>
      </c>
      <c r="B87" s="118">
        <f>B84/B85</f>
        <v>0.8313710893882108</v>
      </c>
      <c r="C87" s="93" t="s">
        <v>62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63</v>
      </c>
      <c r="B89" s="120">
        <v>25</v>
      </c>
      <c r="D89" s="203" t="s">
        <v>64</v>
      </c>
      <c r="E89" s="204"/>
      <c r="F89" s="265" t="s">
        <v>65</v>
      </c>
      <c r="G89" s="266"/>
    </row>
    <row r="90" spans="1:12" ht="27" customHeight="1" thickBot="1" x14ac:dyDescent="0.45">
      <c r="A90" s="121" t="s">
        <v>66</v>
      </c>
      <c r="B90" s="122">
        <v>10</v>
      </c>
      <c r="C90" s="205" t="s">
        <v>67</v>
      </c>
      <c r="D90" s="124" t="s">
        <v>68</v>
      </c>
      <c r="E90" s="125" t="s">
        <v>69</v>
      </c>
      <c r="F90" s="124" t="s">
        <v>68</v>
      </c>
      <c r="G90" s="206" t="s">
        <v>69</v>
      </c>
      <c r="I90" s="127" t="s">
        <v>70</v>
      </c>
    </row>
    <row r="91" spans="1:12" ht="26.25" customHeight="1" x14ac:dyDescent="0.4">
      <c r="A91" s="121" t="s">
        <v>71</v>
      </c>
      <c r="B91" s="122">
        <v>50</v>
      </c>
      <c r="C91" s="207">
        <v>1</v>
      </c>
      <c r="D91" s="129">
        <v>0.81399999999999995</v>
      </c>
      <c r="E91" s="130">
        <f>IF(ISBLANK(D91),"-",$D$101/$D$98*D91)</f>
        <v>0.98786568793684992</v>
      </c>
      <c r="F91" s="129">
        <v>0.75</v>
      </c>
      <c r="G91" s="131">
        <f>IF(ISBLANK(F91),"-",$D$101/$F$98*F91)</f>
        <v>0.98251540426330131</v>
      </c>
      <c r="I91" s="132"/>
    </row>
    <row r="92" spans="1:12" ht="26.25" customHeight="1" x14ac:dyDescent="0.4">
      <c r="A92" s="121" t="s">
        <v>72</v>
      </c>
      <c r="B92" s="122">
        <v>5</v>
      </c>
      <c r="C92" s="151">
        <v>2</v>
      </c>
      <c r="D92" s="134">
        <v>0.80900000000000005</v>
      </c>
      <c r="E92" s="135">
        <f>IF(ISBLANK(D92),"-",$D$101/$D$98*D92)</f>
        <v>0.98179771688072692</v>
      </c>
      <c r="F92" s="134">
        <v>0.753</v>
      </c>
      <c r="G92" s="136">
        <f>IF(ISBLANK(F92),"-",$D$101/$F$98*F92)</f>
        <v>0.98644546588035453</v>
      </c>
      <c r="I92" s="256">
        <f>ABS((F96/D96*D95)-F95)/D95</f>
        <v>1.1787462190546193E-3</v>
      </c>
    </row>
    <row r="93" spans="1:12" ht="26.25" customHeight="1" x14ac:dyDescent="0.4">
      <c r="A93" s="121" t="s">
        <v>73</v>
      </c>
      <c r="B93" s="122">
        <v>50</v>
      </c>
      <c r="C93" s="151">
        <v>3</v>
      </c>
      <c r="D93" s="134">
        <v>0.80700000000000005</v>
      </c>
      <c r="E93" s="135">
        <f>IF(ISBLANK(D93),"-",$D$101/$D$98*D93)</f>
        <v>0.97937052845827766</v>
      </c>
      <c r="F93" s="134">
        <v>0.751</v>
      </c>
      <c r="G93" s="136">
        <f>IF(ISBLANK(F93),"-",$D$101/$F$98*F93)</f>
        <v>0.98382542480231905</v>
      </c>
      <c r="I93" s="256"/>
    </row>
    <row r="94" spans="1:12" ht="27" customHeight="1" thickBot="1" x14ac:dyDescent="0.45">
      <c r="A94" s="121" t="s">
        <v>74</v>
      </c>
      <c r="B94" s="122">
        <v>1</v>
      </c>
      <c r="C94" s="208">
        <v>4</v>
      </c>
      <c r="D94" s="138"/>
      <c r="E94" s="139" t="str">
        <f>IF(ISBLANK(D94),"-",$D$101/$D$98*D94)</f>
        <v>-</v>
      </c>
      <c r="F94" s="209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75</v>
      </c>
      <c r="B95" s="122">
        <v>1</v>
      </c>
      <c r="C95" s="105" t="s">
        <v>76</v>
      </c>
      <c r="D95" s="308">
        <f>AVERAGE(D91:D94)</f>
        <v>0.81</v>
      </c>
      <c r="E95" s="144">
        <f>AVERAGE(E91:E94)</f>
        <v>0.98301131109195161</v>
      </c>
      <c r="F95" s="309">
        <f>AVERAGE(F91:F94)</f>
        <v>0.7513333333333333</v>
      </c>
      <c r="G95" s="212">
        <f>AVERAGE(G91:G94)</f>
        <v>0.98426209831532496</v>
      </c>
    </row>
    <row r="96" spans="1:12" ht="26.25" customHeight="1" x14ac:dyDescent="0.4">
      <c r="A96" s="121" t="s">
        <v>77</v>
      </c>
      <c r="B96" s="106">
        <v>1</v>
      </c>
      <c r="C96" s="213" t="s">
        <v>118</v>
      </c>
      <c r="D96" s="214">
        <v>28.53</v>
      </c>
      <c r="E96" s="93"/>
      <c r="F96" s="148">
        <v>26.43</v>
      </c>
    </row>
    <row r="97" spans="1:10" ht="26.25" customHeight="1" x14ac:dyDescent="0.4">
      <c r="A97" s="121" t="s">
        <v>79</v>
      </c>
      <c r="B97" s="106">
        <v>1</v>
      </c>
      <c r="C97" s="215" t="s">
        <v>119</v>
      </c>
      <c r="D97" s="216">
        <f>D96*$B$87</f>
        <v>23.719017180245654</v>
      </c>
      <c r="E97" s="151"/>
      <c r="F97" s="150">
        <f>F96*$B$87</f>
        <v>21.97313789253041</v>
      </c>
    </row>
    <row r="98" spans="1:10" ht="19.5" customHeight="1" thickBot="1" x14ac:dyDescent="0.35">
      <c r="A98" s="121" t="s">
        <v>81</v>
      </c>
      <c r="B98" s="151">
        <f>(B97/B96)*(B95/B94)*(B93/B92)*(B91/B90)*B89</f>
        <v>1250</v>
      </c>
      <c r="C98" s="215" t="s">
        <v>120</v>
      </c>
      <c r="D98" s="217">
        <f>D97*$B$83/100</f>
        <v>22.888851578937057</v>
      </c>
      <c r="E98" s="153"/>
      <c r="F98" s="152">
        <f>F97*$B$83/100</f>
        <v>21.204078066291846</v>
      </c>
    </row>
    <row r="99" spans="1:10" ht="19.5" customHeight="1" thickBot="1" x14ac:dyDescent="0.35">
      <c r="A99" s="257" t="s">
        <v>83</v>
      </c>
      <c r="B99" s="258"/>
      <c r="C99" s="215" t="s">
        <v>121</v>
      </c>
      <c r="D99" s="218">
        <f>D98/$B$98</f>
        <v>1.8311081263149644E-2</v>
      </c>
      <c r="E99" s="153"/>
      <c r="F99" s="156">
        <f>F98/$B$98</f>
        <v>1.6963262453033475E-2</v>
      </c>
      <c r="H99" s="146"/>
    </row>
    <row r="100" spans="1:10" ht="19.5" customHeight="1" thickBot="1" x14ac:dyDescent="0.35">
      <c r="A100" s="259"/>
      <c r="B100" s="260"/>
      <c r="C100" s="215" t="s">
        <v>85</v>
      </c>
      <c r="D100" s="219">
        <f>$B$56/$B$116</f>
        <v>2.2222222222222223E-2</v>
      </c>
      <c r="F100" s="161"/>
      <c r="G100" s="220"/>
      <c r="H100" s="146"/>
    </row>
    <row r="101" spans="1:10" ht="18.75" x14ac:dyDescent="0.3">
      <c r="C101" s="215" t="s">
        <v>86</v>
      </c>
      <c r="D101" s="216">
        <f>D100*$B$98</f>
        <v>27.777777777777779</v>
      </c>
      <c r="F101" s="161"/>
      <c r="H101" s="146"/>
    </row>
    <row r="102" spans="1:10" ht="19.5" customHeight="1" thickBot="1" x14ac:dyDescent="0.35">
      <c r="C102" s="221" t="s">
        <v>87</v>
      </c>
      <c r="D102" s="222">
        <f>D101/B34</f>
        <v>33.412008346620382</v>
      </c>
      <c r="F102" s="165"/>
      <c r="H102" s="146"/>
      <c r="J102" s="223"/>
    </row>
    <row r="103" spans="1:10" ht="18.75" x14ac:dyDescent="0.3">
      <c r="C103" s="224" t="s">
        <v>122</v>
      </c>
      <c r="D103" s="225">
        <f>AVERAGE(E91:E94,G91:G94)</f>
        <v>0.98363670470363829</v>
      </c>
      <c r="F103" s="165"/>
      <c r="G103" s="220"/>
      <c r="H103" s="146"/>
      <c r="J103" s="226"/>
    </row>
    <row r="104" spans="1:10" ht="18.75" x14ac:dyDescent="0.3">
      <c r="C104" s="198" t="s">
        <v>89</v>
      </c>
      <c r="D104" s="227">
        <f>STDEV(E91:E94,G91:G94)/D103</f>
        <v>3.1711370996084691E-3</v>
      </c>
      <c r="F104" s="165"/>
      <c r="H104" s="146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5"/>
      <c r="H105" s="146"/>
      <c r="J105" s="226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6.25" customHeight="1" x14ac:dyDescent="0.4">
      <c r="A107" s="119" t="s">
        <v>123</v>
      </c>
      <c r="B107" s="120">
        <v>900</v>
      </c>
      <c r="C107" s="203" t="s">
        <v>124</v>
      </c>
      <c r="D107" s="229" t="s">
        <v>68</v>
      </c>
      <c r="E107" s="230" t="s">
        <v>125</v>
      </c>
      <c r="F107" s="231" t="s">
        <v>126</v>
      </c>
    </row>
    <row r="108" spans="1:10" ht="26.25" customHeight="1" x14ac:dyDescent="0.4">
      <c r="A108" s="121" t="s">
        <v>127</v>
      </c>
      <c r="B108" s="122">
        <v>4</v>
      </c>
      <c r="C108" s="232">
        <v>1</v>
      </c>
      <c r="D108" s="306">
        <v>0.81899999999999995</v>
      </c>
      <c r="E108" s="233">
        <f t="shared" ref="E108:E113" si="1">IF(ISBLANK(D108),"-",D108/$D$103*$D$100*$B$116)</f>
        <v>416.31224012058294</v>
      </c>
      <c r="F108" s="234">
        <f t="shared" ref="F108:F113" si="2">IF(ISBLANK(D108), "-", E108/$B$56)</f>
        <v>0.83262448024116587</v>
      </c>
    </row>
    <row r="109" spans="1:10" ht="26.25" customHeight="1" x14ac:dyDescent="0.4">
      <c r="A109" s="121" t="s">
        <v>100</v>
      </c>
      <c r="B109" s="122">
        <v>100</v>
      </c>
      <c r="C109" s="232">
        <v>2</v>
      </c>
      <c r="D109" s="306">
        <v>0.81499999999999995</v>
      </c>
      <c r="E109" s="235">
        <f t="shared" si="1"/>
        <v>414.27896910656301</v>
      </c>
      <c r="F109" s="236">
        <f t="shared" si="2"/>
        <v>0.82855793821312607</v>
      </c>
    </row>
    <row r="110" spans="1:10" ht="26.25" customHeight="1" x14ac:dyDescent="0.4">
      <c r="A110" s="121" t="s">
        <v>101</v>
      </c>
      <c r="B110" s="122">
        <v>1</v>
      </c>
      <c r="C110" s="232">
        <v>3</v>
      </c>
      <c r="D110" s="306">
        <v>0.81200000000000006</v>
      </c>
      <c r="E110" s="235">
        <f t="shared" si="1"/>
        <v>412.75401584604811</v>
      </c>
      <c r="F110" s="236">
        <f t="shared" si="2"/>
        <v>0.82550803169209619</v>
      </c>
    </row>
    <row r="111" spans="1:10" ht="26.25" customHeight="1" x14ac:dyDescent="0.4">
      <c r="A111" s="121" t="s">
        <v>102</v>
      </c>
      <c r="B111" s="122">
        <v>1</v>
      </c>
      <c r="C111" s="232">
        <v>4</v>
      </c>
      <c r="D111" s="306">
        <v>0.80700000000000005</v>
      </c>
      <c r="E111" s="235">
        <f t="shared" si="1"/>
        <v>410.21242707852309</v>
      </c>
      <c r="F111" s="236">
        <f t="shared" si="2"/>
        <v>0.82042485415704614</v>
      </c>
    </row>
    <row r="112" spans="1:10" ht="26.25" customHeight="1" x14ac:dyDescent="0.4">
      <c r="A112" s="121" t="s">
        <v>103</v>
      </c>
      <c r="B112" s="122">
        <v>1</v>
      </c>
      <c r="C112" s="232">
        <v>5</v>
      </c>
      <c r="D112" s="306">
        <v>0.81</v>
      </c>
      <c r="E112" s="235">
        <f t="shared" si="1"/>
        <v>411.73738033903817</v>
      </c>
      <c r="F112" s="236">
        <f t="shared" si="2"/>
        <v>0.82347476067807635</v>
      </c>
    </row>
    <row r="113" spans="1:10" ht="26.25" customHeight="1" x14ac:dyDescent="0.4">
      <c r="A113" s="121" t="s">
        <v>105</v>
      </c>
      <c r="B113" s="122">
        <v>1</v>
      </c>
      <c r="C113" s="237">
        <v>6</v>
      </c>
      <c r="D113" s="307">
        <v>0.81799999999999995</v>
      </c>
      <c r="E113" s="238">
        <f t="shared" si="1"/>
        <v>415.80392236707792</v>
      </c>
      <c r="F113" s="239">
        <f t="shared" si="2"/>
        <v>0.83160784473415583</v>
      </c>
    </row>
    <row r="114" spans="1:10" ht="26.25" customHeight="1" x14ac:dyDescent="0.4">
      <c r="A114" s="121" t="s">
        <v>106</v>
      </c>
      <c r="B114" s="122">
        <v>1</v>
      </c>
      <c r="C114" s="232"/>
      <c r="D114" s="151"/>
      <c r="E114" s="93"/>
      <c r="F114" s="240"/>
    </row>
    <row r="115" spans="1:10" ht="26.25" customHeight="1" x14ac:dyDescent="0.4">
      <c r="A115" s="121" t="s">
        <v>107</v>
      </c>
      <c r="B115" s="122">
        <v>1</v>
      </c>
      <c r="C115" s="232"/>
      <c r="D115" s="241" t="s">
        <v>76</v>
      </c>
      <c r="E115" s="242">
        <f>AVERAGE(E108:E113)</f>
        <v>413.51649247630559</v>
      </c>
      <c r="F115" s="243">
        <f>AVERAGE(F108:F113)</f>
        <v>0.82703298495261102</v>
      </c>
    </row>
    <row r="116" spans="1:10" ht="27" customHeight="1" thickBot="1" x14ac:dyDescent="0.45">
      <c r="A116" s="121" t="s">
        <v>108</v>
      </c>
      <c r="B116" s="133">
        <f>(B115/B114)*(B113/B112)*(B111/B110)*(B109/B108)*B107</f>
        <v>22500</v>
      </c>
      <c r="C116" s="244"/>
      <c r="D116" s="105" t="s">
        <v>89</v>
      </c>
      <c r="E116" s="245">
        <f>STDEV(E108:E113)/E115</f>
        <v>5.7526042811542714E-3</v>
      </c>
      <c r="F116" s="245">
        <f>STDEV(F108:F113)/F115</f>
        <v>5.7526042811542879E-3</v>
      </c>
      <c r="I116" s="93"/>
    </row>
    <row r="117" spans="1:10" ht="27" customHeight="1" thickBot="1" x14ac:dyDescent="0.45">
      <c r="A117" s="257" t="s">
        <v>83</v>
      </c>
      <c r="B117" s="261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3"/>
      <c r="J117" s="226"/>
    </row>
    <row r="118" spans="1:10" ht="19.5" customHeight="1" thickBot="1" x14ac:dyDescent="0.35">
      <c r="A118" s="259"/>
      <c r="B118" s="262"/>
      <c r="C118" s="93"/>
      <c r="D118" s="93"/>
      <c r="E118" s="93"/>
      <c r="F118" s="151"/>
      <c r="G118" s="93"/>
      <c r="H118" s="93"/>
      <c r="I118" s="93"/>
    </row>
    <row r="119" spans="1:10" ht="18.75" x14ac:dyDescent="0.3">
      <c r="A119" s="249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">
      <c r="A120" s="104" t="s">
        <v>111</v>
      </c>
      <c r="B120" s="105" t="s">
        <v>128</v>
      </c>
      <c r="C120" s="263" t="str">
        <f>B20</f>
        <v xml:space="preserve">Cefuroxime Axetil </v>
      </c>
      <c r="D120" s="263"/>
      <c r="E120" s="93" t="s">
        <v>129</v>
      </c>
      <c r="F120" s="93"/>
      <c r="G120" s="202">
        <f>F115</f>
        <v>0.82703298495261102</v>
      </c>
      <c r="H120" s="93"/>
      <c r="I120" s="93"/>
    </row>
    <row r="121" spans="1:10" ht="19.5" customHeight="1" thickBot="1" x14ac:dyDescent="0.35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264" t="s">
        <v>25</v>
      </c>
      <c r="C122" s="264"/>
      <c r="E122" s="205" t="s">
        <v>26</v>
      </c>
      <c r="F122" s="252"/>
      <c r="G122" s="264" t="s">
        <v>27</v>
      </c>
      <c r="H122" s="264"/>
    </row>
    <row r="123" spans="1:10" ht="69.95" customHeight="1" x14ac:dyDescent="0.3">
      <c r="A123" s="104" t="s">
        <v>28</v>
      </c>
      <c r="B123" s="253"/>
      <c r="C123" s="253"/>
      <c r="E123" s="253"/>
      <c r="F123" s="93"/>
      <c r="G123" s="253"/>
      <c r="H123" s="253"/>
    </row>
    <row r="124" spans="1:10" ht="69.95" customHeight="1" x14ac:dyDescent="0.3">
      <c r="A124" s="104" t="s">
        <v>29</v>
      </c>
      <c r="B124" s="254"/>
      <c r="C124" s="254"/>
      <c r="E124" s="254"/>
      <c r="F124" s="93"/>
      <c r="G124" s="255"/>
      <c r="H124" s="255"/>
    </row>
    <row r="125" spans="1:10" ht="18.75" x14ac:dyDescent="0.3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.75" x14ac:dyDescent="0.3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.75" x14ac:dyDescent="0.3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.75" x14ac:dyDescent="0.3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.75" x14ac:dyDescent="0.3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25">
      <c r="A250" s="92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Cefuroxime tablets (2)</vt:lpstr>
      <vt:lpstr>SST (2)</vt:lpstr>
      <vt:lpstr>Uniformity</vt:lpstr>
      <vt:lpstr>Cefuroxime tablets (3)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2016-08-17T06:48:50Z</cp:lastPrinted>
  <dcterms:created xsi:type="dcterms:W3CDTF">2005-07-05T10:19:27Z</dcterms:created>
  <dcterms:modified xsi:type="dcterms:W3CDTF">2016-08-17T06:50:26Z</dcterms:modified>
</cp:coreProperties>
</file>