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510" yWindow="555" windowWidth="15015" windowHeight="7620" activeTab="4"/>
  </bookViews>
  <sheets>
    <sheet name="SST" sheetId="1" r:id="rId1"/>
    <sheet name="Uniformity" sheetId="2" r:id="rId2"/>
    <sheet name="Cefuroxime tablets" sheetId="3" r:id="rId3"/>
    <sheet name="Sheet1" sheetId="6" r:id="rId4"/>
    <sheet name="Cefuroxime tablets (2)" sheetId="5" r:id="rId5"/>
  </sheet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F70" i="3" l="1"/>
  <c r="F69" i="3"/>
  <c r="F68" i="3"/>
  <c r="F66" i="3"/>
  <c r="F65" i="3"/>
  <c r="F64" i="3"/>
  <c r="F62" i="3"/>
  <c r="F61" i="3"/>
  <c r="F60" i="3"/>
  <c r="F40" i="3" l="1"/>
  <c r="F39" i="3"/>
  <c r="F38" i="3"/>
  <c r="D40" i="3"/>
  <c r="D39" i="3"/>
  <c r="D38" i="3"/>
  <c r="C120" i="5" l="1"/>
  <c r="B116" i="5"/>
  <c r="D100" i="5"/>
  <c r="D101" i="5" s="1"/>
  <c r="B98" i="5"/>
  <c r="F95" i="5"/>
  <c r="D95" i="5"/>
  <c r="I92" i="5" s="1"/>
  <c r="G94" i="5"/>
  <c r="E94" i="5"/>
  <c r="B87" i="5"/>
  <c r="F97" i="5" s="1"/>
  <c r="B81" i="5"/>
  <c r="B83" i="5" s="1"/>
  <c r="B80" i="5"/>
  <c r="B79" i="5"/>
  <c r="C76" i="5"/>
  <c r="H71" i="5"/>
  <c r="G71" i="5"/>
  <c r="H67" i="5"/>
  <c r="G67" i="5"/>
  <c r="H63" i="5"/>
  <c r="G63" i="5"/>
  <c r="H62" i="5"/>
  <c r="G62" i="5"/>
  <c r="H61" i="5"/>
  <c r="G61" i="5"/>
  <c r="H60" i="5"/>
  <c r="G60" i="5"/>
  <c r="C56" i="5"/>
  <c r="B55" i="5"/>
  <c r="B45" i="5"/>
  <c r="D48" i="5" s="1"/>
  <c r="D42" i="5"/>
  <c r="G41" i="5"/>
  <c r="E41" i="5"/>
  <c r="F42" i="5"/>
  <c r="B34" i="5"/>
  <c r="D44" i="5" s="1"/>
  <c r="B30" i="5"/>
  <c r="D45" i="5" l="1"/>
  <c r="D46" i="5" s="1"/>
  <c r="F98" i="5"/>
  <c r="F99" i="5" s="1"/>
  <c r="D97" i="5"/>
  <c r="D98" i="5" s="1"/>
  <c r="D99" i="5" s="1"/>
  <c r="I39" i="5"/>
  <c r="D102" i="5"/>
  <c r="G91" i="5"/>
  <c r="G92" i="5"/>
  <c r="G93" i="5"/>
  <c r="E91" i="5"/>
  <c r="E40" i="5"/>
  <c r="E38" i="5"/>
  <c r="E39" i="5"/>
  <c r="D49" i="5"/>
  <c r="F44" i="5"/>
  <c r="F45" i="5" s="1"/>
  <c r="F46" i="5" s="1"/>
  <c r="E93" i="5" l="1"/>
  <c r="D105" i="5" s="1"/>
  <c r="E92" i="5"/>
  <c r="E42" i="5"/>
  <c r="G40" i="5"/>
  <c r="G95" i="5"/>
  <c r="G38" i="5"/>
  <c r="G39" i="5"/>
  <c r="D103" i="5" l="1"/>
  <c r="E111" i="5" s="1"/>
  <c r="F111" i="5" s="1"/>
  <c r="E95" i="5"/>
  <c r="G42" i="5"/>
  <c r="D50" i="5"/>
  <c r="E112" i="5"/>
  <c r="F112" i="5" s="1"/>
  <c r="E108" i="5"/>
  <c r="E109" i="5"/>
  <c r="F109" i="5" s="1"/>
  <c r="D104" i="5"/>
  <c r="E110" i="5"/>
  <c r="F110" i="5" s="1"/>
  <c r="E113" i="5"/>
  <c r="F113" i="5" s="1"/>
  <c r="D52" i="5"/>
  <c r="D51" i="5" l="1"/>
  <c r="E115" i="5"/>
  <c r="E116" i="5" s="1"/>
  <c r="E117" i="5"/>
  <c r="F108" i="5"/>
  <c r="F117" i="5" l="1"/>
  <c r="F115" i="5"/>
  <c r="G120" i="5" l="1"/>
  <c r="F116" i="5"/>
  <c r="B21" i="1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C19" i="2"/>
  <c r="B53" i="1"/>
  <c r="E51" i="1"/>
  <c r="D51" i="1"/>
  <c r="C51" i="1"/>
  <c r="B51" i="1"/>
  <c r="B52" i="1" s="1"/>
  <c r="B32" i="1"/>
  <c r="E30" i="1"/>
  <c r="C30" i="1"/>
  <c r="B30" i="1"/>
  <c r="B31" i="1" s="1"/>
  <c r="D30" i="2" l="1"/>
  <c r="B57" i="5"/>
  <c r="I92" i="3"/>
  <c r="D101" i="3"/>
  <c r="D102" i="3" s="1"/>
  <c r="I39" i="3"/>
  <c r="D44" i="3"/>
  <c r="D45" i="3" s="1"/>
  <c r="D49" i="3"/>
  <c r="F45" i="3"/>
  <c r="G39" i="3" s="1"/>
  <c r="F98" i="3"/>
  <c r="F99" i="3" s="1"/>
  <c r="C50" i="2"/>
  <c r="D26" i="2"/>
  <c r="D34" i="2"/>
  <c r="D42" i="2"/>
  <c r="B49" i="2"/>
  <c r="D50" i="2"/>
  <c r="D35" i="2"/>
  <c r="D29" i="2"/>
  <c r="D41" i="2"/>
  <c r="D38" i="2"/>
  <c r="D27" i="2"/>
  <c r="D31" i="2"/>
  <c r="D39" i="2"/>
  <c r="D43" i="2"/>
  <c r="C49" i="2"/>
  <c r="D24" i="2"/>
  <c r="D28" i="2"/>
  <c r="D32" i="2"/>
  <c r="D36" i="2"/>
  <c r="D40" i="2"/>
  <c r="D49" i="2"/>
  <c r="B57" i="3"/>
  <c r="B69" i="3" s="1"/>
  <c r="D37" i="2"/>
  <c r="D97" i="3"/>
  <c r="D98" i="3" s="1"/>
  <c r="D99" i="3" s="1"/>
  <c r="D25" i="2"/>
  <c r="D33" i="2"/>
  <c r="B69" i="5" l="1"/>
  <c r="G68" i="5"/>
  <c r="H68" i="5" s="1"/>
  <c r="G69" i="5"/>
  <c r="H69" i="5" s="1"/>
  <c r="G70" i="5"/>
  <c r="H70" i="5" s="1"/>
  <c r="G66" i="5"/>
  <c r="H66" i="5" s="1"/>
  <c r="G65" i="5"/>
  <c r="H65" i="5" s="1"/>
  <c r="G64" i="5"/>
  <c r="G91" i="3"/>
  <c r="E38" i="3"/>
  <c r="E41" i="3"/>
  <c r="E40" i="3"/>
  <c r="E39" i="3"/>
  <c r="D46" i="3"/>
  <c r="F46" i="3"/>
  <c r="G41" i="3"/>
  <c r="G38" i="3"/>
  <c r="G40" i="3"/>
  <c r="E91" i="3"/>
  <c r="E92" i="3"/>
  <c r="E94" i="3"/>
  <c r="G94" i="3"/>
  <c r="G93" i="3"/>
  <c r="G92" i="3"/>
  <c r="E93" i="3"/>
  <c r="G72" i="5" l="1"/>
  <c r="G73" i="5" s="1"/>
  <c r="H64" i="5"/>
  <c r="G74" i="5"/>
  <c r="G95" i="3"/>
  <c r="G42" i="3"/>
  <c r="E42" i="3"/>
  <c r="D52" i="3"/>
  <c r="D50" i="3"/>
  <c r="E95" i="3"/>
  <c r="D105" i="3"/>
  <c r="D103" i="3"/>
  <c r="H72" i="5" l="1"/>
  <c r="G76" i="5" s="1"/>
  <c r="H74" i="5"/>
  <c r="G68" i="3"/>
  <c r="H68" i="3" s="1"/>
  <c r="G64" i="3"/>
  <c r="H64" i="3" s="1"/>
  <c r="G67" i="3"/>
  <c r="H67" i="3" s="1"/>
  <c r="G61" i="3"/>
  <c r="H61" i="3" s="1"/>
  <c r="D51" i="3"/>
  <c r="G71" i="3"/>
  <c r="H71" i="3" s="1"/>
  <c r="G62" i="3"/>
  <c r="H62" i="3" s="1"/>
  <c r="G63" i="3"/>
  <c r="H63" i="3" s="1"/>
  <c r="G69" i="3"/>
  <c r="H69" i="3" s="1"/>
  <c r="G60" i="3"/>
  <c r="G66" i="3"/>
  <c r="H66" i="3" s="1"/>
  <c r="G70" i="3"/>
  <c r="H70" i="3" s="1"/>
  <c r="G65" i="3"/>
  <c r="H65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73" i="5" l="1"/>
  <c r="G72" i="3"/>
  <c r="G73" i="3" s="1"/>
  <c r="G74" i="3"/>
  <c r="H60" i="3"/>
  <c r="E115" i="3"/>
  <c r="E116" i="3" s="1"/>
  <c r="E117" i="3"/>
  <c r="F108" i="3"/>
  <c r="H74" i="3" l="1"/>
  <c r="H72" i="3"/>
  <c r="F117" i="3"/>
  <c r="F115" i="3"/>
  <c r="G76" i="3" l="1"/>
  <c r="H73" i="3"/>
  <c r="G120" i="3"/>
  <c r="F116" i="3"/>
</calcChain>
</file>

<file path=xl/sharedStrings.xml><?xml version="1.0" encoding="utf-8"?>
<sst xmlns="http://schemas.openxmlformats.org/spreadsheetml/2006/main" count="393" uniqueCount="128">
  <si>
    <t>HPLC System Suitability Report</t>
  </si>
  <si>
    <t>Analysis Data</t>
  </si>
  <si>
    <t>Assay</t>
  </si>
  <si>
    <t>Sample(s)</t>
  </si>
  <si>
    <t>Reference Substance:</t>
  </si>
  <si>
    <t>MYDAWA CEFUROXIME AXETIL TABLETS USP 2500 MG</t>
  </si>
  <si>
    <t>% age Purity:</t>
  </si>
  <si>
    <t>NDQD201607013</t>
  </si>
  <si>
    <t>Weight (mg):</t>
  </si>
  <si>
    <t xml:space="preserve">Cefuroxime Axetil </t>
  </si>
  <si>
    <t>Standard Conc (mg/mL):</t>
  </si>
  <si>
    <t>Each tablet contains Cefuroxime axetil USP 250 mg</t>
  </si>
  <si>
    <t>2016-07-06 07:15:26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</si>
  <si>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</si>
  <si>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</si>
  <si>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</si>
  <si>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</si>
  <si>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</si>
  <si>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</si>
  <si>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</si>
  <si>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</si>
  <si>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</si>
  <si>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</si>
  <si>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</si>
  <si>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</si>
  <si>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</si>
  <si>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</si>
  <si>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</si>
  <si>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</si>
  <si>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</si>
  <si>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</si>
  <si>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</si>
  <si>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</si>
  <si>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</si>
  <si>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</si>
  <si>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</si>
  <si>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</si>
  <si>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</si>
  <si>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</si>
  <si>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</si>
  <si>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</si>
  <si>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</si>
  <si>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</si>
  <si>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</si>
  <si>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</si>
  <si>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</si>
  <si>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</si>
  <si>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</si>
  <si>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</si>
  <si>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</si>
  <si>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</si>
  <si>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</si>
  <si>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</si>
  <si>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</si>
  <si>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</si>
  <si>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</si>
  <si>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</si>
  <si>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</si>
  <si>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</si>
  <si>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</si>
  <si>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</si>
  <si>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</si>
  <si>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</si>
  <si>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</si>
  <si>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</si>
  <si>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</si>
  <si>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</si>
  <si>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</si>
  <si>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</si>
  <si>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</si>
  <si>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</si>
  <si>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</si>
  <si>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</si>
  <si>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</si>
  <si>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</si>
  <si>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</si>
  <si>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</si>
  <si>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</si>
  <si>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</si>
  <si>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</si>
  <si>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</si>
  <si>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</si>
  <si>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</si>
  <si>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</si>
  <si>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</si>
  <si>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</si>
  <si>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</si>
  <si>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</si>
  <si>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</si>
  <si>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</si>
  <si>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</si>
  <si>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</si>
  <si>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</si>
  <si>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</si>
  <si>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</si>
  <si>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</si>
  <si>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</si>
  <si>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</si>
  <si>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</si>
  <si>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</si>
  <si>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</si>
  <si>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</si>
  <si>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</si>
  <si>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</si>
  <si>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</si>
  <si>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</si>
  <si>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</si>
  <si>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</si>
  <si>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</si>
  <si>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</si>
  <si>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</si>
  <si>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</si>
  <si>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</si>
  <si>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</si>
  <si>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</si>
  <si>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</si>
  <si>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</si>
  <si>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</si>
  <si>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</si>
  <si>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</si>
  <si>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</si>
  <si>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</si>
  <si>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</si>
  <si>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</si>
  <si>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ISOMER B</t>
  </si>
  <si>
    <t>ISOMER A</t>
  </si>
  <si>
    <t xml:space="preserve">CEFUROXIME AXETIL </t>
  </si>
  <si>
    <t>C66-1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</si>
</sst>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65" fontId="5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44" sqref="A44:E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26.43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B20/25*10/50</f>
        <v>0.21143999999999999</v>
      </c>
      <c r="C21" s="10"/>
      <c r="D21" s="10"/>
      <c r="E21" s="10"/>
    </row>
    <row r="22" spans="1:6" ht="15.75" customHeight="1" x14ac:dyDescent="0.25">
      <c r="A22" s="10"/>
      <c r="B22" s="10" t="s">
        <v>125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2191772</v>
      </c>
      <c r="C24" s="18">
        <v>7432.8</v>
      </c>
      <c r="D24" s="19">
        <v>1</v>
      </c>
      <c r="E24" s="20">
        <v>15.9</v>
      </c>
    </row>
    <row r="25" spans="1:6" ht="16.5" customHeight="1" x14ac:dyDescent="0.3">
      <c r="A25" s="17">
        <v>2</v>
      </c>
      <c r="B25" s="18">
        <v>2163919</v>
      </c>
      <c r="C25" s="18">
        <v>7390.7</v>
      </c>
      <c r="D25" s="19">
        <v>1</v>
      </c>
      <c r="E25" s="19">
        <v>15.8</v>
      </c>
    </row>
    <row r="26" spans="1:6" ht="16.5" customHeight="1" x14ac:dyDescent="0.3">
      <c r="A26" s="17">
        <v>3</v>
      </c>
      <c r="B26" s="18">
        <v>2159267</v>
      </c>
      <c r="C26" s="18">
        <v>7380</v>
      </c>
      <c r="D26" s="19">
        <v>1</v>
      </c>
      <c r="E26" s="19">
        <v>15.8</v>
      </c>
    </row>
    <row r="27" spans="1:6" ht="16.5" customHeight="1" x14ac:dyDescent="0.3">
      <c r="A27" s="17">
        <v>4</v>
      </c>
      <c r="B27" s="18">
        <v>2146592</v>
      </c>
      <c r="C27" s="18">
        <v>7498.1</v>
      </c>
      <c r="D27" s="19">
        <v>1</v>
      </c>
      <c r="E27" s="19">
        <v>15.8</v>
      </c>
    </row>
    <row r="28" spans="1:6" ht="16.5" customHeight="1" x14ac:dyDescent="0.3">
      <c r="A28" s="17">
        <v>5</v>
      </c>
      <c r="B28" s="18">
        <v>2139846</v>
      </c>
      <c r="C28" s="18">
        <v>7418.2</v>
      </c>
      <c r="D28" s="19">
        <v>1</v>
      </c>
      <c r="E28" s="19">
        <v>15.8</v>
      </c>
    </row>
    <row r="29" spans="1:6" ht="16.5" customHeight="1" x14ac:dyDescent="0.3">
      <c r="A29" s="17">
        <v>6</v>
      </c>
      <c r="B29" s="21">
        <v>2123890</v>
      </c>
      <c r="C29" s="21">
        <v>7484.9</v>
      </c>
      <c r="D29" s="22">
        <v>1</v>
      </c>
      <c r="E29" s="22">
        <v>15.7</v>
      </c>
    </row>
    <row r="30" spans="1:6" ht="16.5" customHeight="1" x14ac:dyDescent="0.3">
      <c r="A30" s="23" t="s">
        <v>18</v>
      </c>
      <c r="B30" s="24">
        <f>AVERAGE(B24:B29)</f>
        <v>2154214.3333333335</v>
      </c>
      <c r="C30" s="25">
        <f>AVERAGE(C24:C29)</f>
        <v>7434.1166666666659</v>
      </c>
      <c r="D30" s="26">
        <v>1</v>
      </c>
      <c r="E30" s="26">
        <f>AVERAGE(E24:E29)</f>
        <v>15.799999999999999</v>
      </c>
    </row>
    <row r="31" spans="1:6" ht="16.5" customHeight="1" x14ac:dyDescent="0.3">
      <c r="A31" s="27" t="s">
        <v>19</v>
      </c>
      <c r="B31" s="28">
        <f>(STDEV(B24:B29)/B30)</f>
        <v>1.0815913577308255E-2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124</v>
      </c>
    </row>
    <row r="39" spans="1:6" ht="16.5" customHeight="1" x14ac:dyDescent="0.3">
      <c r="A39" s="11" t="s">
        <v>4</v>
      </c>
      <c r="B39" s="8" t="s">
        <v>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99.65</v>
      </c>
      <c r="C40" s="10"/>
      <c r="D40" s="10"/>
      <c r="E40" s="10"/>
    </row>
    <row r="41" spans="1:6" ht="16.5" customHeight="1" x14ac:dyDescent="0.3">
      <c r="A41" s="7" t="s">
        <v>8</v>
      </c>
      <c r="B41" s="12">
        <v>26.43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0.21143999999999999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285">
        <v>2300722</v>
      </c>
      <c r="C45" s="285">
        <v>7155</v>
      </c>
      <c r="D45" s="286">
        <v>1</v>
      </c>
      <c r="E45" s="287">
        <v>18.600000000000001</v>
      </c>
    </row>
    <row r="46" spans="1:6" ht="16.5" customHeight="1" x14ac:dyDescent="0.3">
      <c r="A46" s="17">
        <v>2</v>
      </c>
      <c r="B46" s="285">
        <v>2265773</v>
      </c>
      <c r="C46" s="285">
        <v>7209.7</v>
      </c>
      <c r="D46" s="286">
        <v>1</v>
      </c>
      <c r="E46" s="286">
        <v>18.5</v>
      </c>
    </row>
    <row r="47" spans="1:6" ht="16.5" customHeight="1" x14ac:dyDescent="0.3">
      <c r="A47" s="17">
        <v>3</v>
      </c>
      <c r="B47" s="285">
        <v>2251890</v>
      </c>
      <c r="C47" s="285">
        <v>7061.8</v>
      </c>
      <c r="D47" s="286">
        <v>1</v>
      </c>
      <c r="E47" s="286">
        <v>18.5</v>
      </c>
    </row>
    <row r="48" spans="1:6" ht="16.5" customHeight="1" x14ac:dyDescent="0.3">
      <c r="A48" s="17">
        <v>4</v>
      </c>
      <c r="B48" s="285">
        <v>2228519</v>
      </c>
      <c r="C48" s="285">
        <v>7135</v>
      </c>
      <c r="D48" s="286">
        <v>1</v>
      </c>
      <c r="E48" s="286">
        <v>18.5</v>
      </c>
    </row>
    <row r="49" spans="1:7" ht="16.5" customHeight="1" x14ac:dyDescent="0.3">
      <c r="A49" s="17">
        <v>5</v>
      </c>
      <c r="B49" s="285">
        <v>2206512</v>
      </c>
      <c r="C49" s="285">
        <v>7182.3</v>
      </c>
      <c r="D49" s="286">
        <v>1</v>
      </c>
      <c r="E49" s="286">
        <v>18.399999999999999</v>
      </c>
    </row>
    <row r="50" spans="1:7" ht="16.5" customHeight="1" x14ac:dyDescent="0.3">
      <c r="A50" s="17">
        <v>6</v>
      </c>
      <c r="B50" s="285">
        <v>2172433</v>
      </c>
      <c r="C50" s="288">
        <v>7232.3</v>
      </c>
      <c r="D50" s="289">
        <v>1</v>
      </c>
      <c r="E50" s="289">
        <v>18.399999999999999</v>
      </c>
    </row>
    <row r="51" spans="1:7" ht="16.5" customHeight="1" x14ac:dyDescent="0.3">
      <c r="A51" s="23" t="s">
        <v>18</v>
      </c>
      <c r="B51" s="24">
        <f>AVERAGE(B45:B50)</f>
        <v>2237641.5</v>
      </c>
      <c r="C51" s="25">
        <f>AVERAGE(C45:C50)</f>
        <v>7162.6833333333343</v>
      </c>
      <c r="D51" s="26">
        <f>AVERAGE(D45:D50)</f>
        <v>1</v>
      </c>
      <c r="E51" s="26">
        <f>AVERAGE(E45:E50)</f>
        <v>18.483333333333334</v>
      </c>
    </row>
    <row r="52" spans="1:7" ht="16.5" customHeight="1" x14ac:dyDescent="0.3">
      <c r="A52" s="27" t="s">
        <v>19</v>
      </c>
      <c r="B52" s="341">
        <f>(STDEV(B45:B50)/B51)</f>
        <v>2.0261801308748464E-2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1" t="s">
        <v>25</v>
      </c>
      <c r="C59" s="29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1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30</v>
      </c>
      <c r="B11" s="296"/>
      <c r="C11" s="296"/>
      <c r="D11" s="296"/>
      <c r="E11" s="296"/>
      <c r="F11" s="297"/>
      <c r="G11" s="91"/>
    </row>
    <row r="12" spans="1:7" ht="16.5" customHeight="1" x14ac:dyDescent="0.3">
      <c r="A12" s="294" t="s">
        <v>31</v>
      </c>
      <c r="B12" s="294"/>
      <c r="C12" s="294"/>
      <c r="D12" s="294"/>
      <c r="E12" s="294"/>
      <c r="F12" s="294"/>
      <c r="G12" s="90"/>
    </row>
    <row r="14" spans="1:7" ht="16.5" customHeight="1" x14ac:dyDescent="0.3">
      <c r="A14" s="299" t="s">
        <v>32</v>
      </c>
      <c r="B14" s="299"/>
      <c r="C14" s="60" t="s">
        <v>5</v>
      </c>
    </row>
    <row r="15" spans="1:7" ht="16.5" customHeight="1" x14ac:dyDescent="0.3">
      <c r="A15" s="299" t="s">
        <v>33</v>
      </c>
      <c r="B15" s="299"/>
      <c r="C15" s="60" t="s">
        <v>7</v>
      </c>
    </row>
    <row r="16" spans="1:7" ht="16.5" customHeight="1" x14ac:dyDescent="0.3">
      <c r="A16" s="299" t="s">
        <v>34</v>
      </c>
      <c r="B16" s="299"/>
      <c r="C16" s="60" t="s">
        <v>9</v>
      </c>
    </row>
    <row r="17" spans="1:5" ht="16.5" customHeight="1" x14ac:dyDescent="0.3">
      <c r="A17" s="299" t="s">
        <v>35</v>
      </c>
      <c r="B17" s="299"/>
      <c r="C17" s="60" t="s">
        <v>11</v>
      </c>
    </row>
    <row r="18" spans="1:5" ht="16.5" customHeight="1" x14ac:dyDescent="0.3">
      <c r="A18" s="299" t="s">
        <v>36</v>
      </c>
      <c r="B18" s="299"/>
      <c r="C18" s="97" t="s">
        <v>12</v>
      </c>
    </row>
    <row r="19" spans="1:5" ht="16.5" customHeight="1" x14ac:dyDescent="0.3">
      <c r="A19" s="299" t="s">
        <v>37</v>
      </c>
      <c r="B19" s="29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4" t="s">
        <v>1</v>
      </c>
      <c r="B21" s="294"/>
      <c r="C21" s="59" t="s">
        <v>38</v>
      </c>
      <c r="D21" s="66"/>
    </row>
    <row r="22" spans="1:5" ht="15.75" customHeight="1" x14ac:dyDescent="0.3">
      <c r="A22" s="298"/>
      <c r="B22" s="298"/>
      <c r="C22" s="57"/>
      <c r="D22" s="298"/>
      <c r="E22" s="29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477.13</v>
      </c>
      <c r="D24" s="87">
        <f t="shared" ref="D24:D43" si="0">(C24-$C$46)/$C$46</f>
        <v>-1.6091266146194185E-3</v>
      </c>
      <c r="E24" s="53"/>
    </row>
    <row r="25" spans="1:5" ht="15.75" customHeight="1" x14ac:dyDescent="0.3">
      <c r="C25" s="95">
        <v>479.52</v>
      </c>
      <c r="D25" s="88">
        <f t="shared" si="0"/>
        <v>3.3919300940156412E-3</v>
      </c>
      <c r="E25" s="53"/>
    </row>
    <row r="26" spans="1:5" ht="15.75" customHeight="1" x14ac:dyDescent="0.3">
      <c r="C26" s="95">
        <v>463.36</v>
      </c>
      <c r="D26" s="88">
        <f t="shared" si="0"/>
        <v>-3.0422746228805642E-2</v>
      </c>
      <c r="E26" s="53"/>
    </row>
    <row r="27" spans="1:5" ht="15.75" customHeight="1" x14ac:dyDescent="0.3">
      <c r="C27" s="95">
        <v>470.43</v>
      </c>
      <c r="D27" s="88">
        <f t="shared" si="0"/>
        <v>-1.5628825337571317E-2</v>
      </c>
      <c r="E27" s="53"/>
    </row>
    <row r="28" spans="1:5" ht="15.75" customHeight="1" x14ac:dyDescent="0.3">
      <c r="C28" s="95">
        <v>482.47</v>
      </c>
      <c r="D28" s="88">
        <f t="shared" si="0"/>
        <v>9.564782516808E-3</v>
      </c>
      <c r="E28" s="53"/>
    </row>
    <row r="29" spans="1:5" ht="15.75" customHeight="1" x14ac:dyDescent="0.3">
      <c r="C29" s="95">
        <v>479.87</v>
      </c>
      <c r="D29" s="88">
        <f t="shared" si="0"/>
        <v>4.1243024153639236E-3</v>
      </c>
      <c r="E29" s="53"/>
    </row>
    <row r="30" spans="1:5" ht="15.75" customHeight="1" x14ac:dyDescent="0.3">
      <c r="C30" s="95">
        <v>473.75</v>
      </c>
      <c r="D30" s="88">
        <f t="shared" si="0"/>
        <v>-8.681750746496646E-3</v>
      </c>
      <c r="E30" s="53"/>
    </row>
    <row r="31" spans="1:5" ht="15.75" customHeight="1" x14ac:dyDescent="0.3">
      <c r="C31" s="95">
        <v>485.23</v>
      </c>
      <c r="D31" s="88">
        <f t="shared" si="0"/>
        <v>1.5340061393725488E-2</v>
      </c>
      <c r="E31" s="53"/>
    </row>
    <row r="32" spans="1:5" ht="15.75" customHeight="1" x14ac:dyDescent="0.3">
      <c r="C32" s="95">
        <v>483.14</v>
      </c>
      <c r="D32" s="88">
        <f t="shared" si="0"/>
        <v>1.0966752389103107E-2</v>
      </c>
      <c r="E32" s="53"/>
    </row>
    <row r="33" spans="1:7" ht="15.75" customHeight="1" x14ac:dyDescent="0.3">
      <c r="C33" s="95">
        <v>486.64</v>
      </c>
      <c r="D33" s="88">
        <f t="shared" si="0"/>
        <v>1.8290475602585454E-2</v>
      </c>
      <c r="E33" s="53"/>
    </row>
    <row r="34" spans="1:7" ht="15.75" customHeight="1" x14ac:dyDescent="0.3">
      <c r="C34" s="95">
        <v>482.62</v>
      </c>
      <c r="D34" s="88">
        <f t="shared" si="0"/>
        <v>9.878656368814338E-3</v>
      </c>
      <c r="E34" s="53"/>
    </row>
    <row r="35" spans="1:7" ht="15.75" customHeight="1" x14ac:dyDescent="0.3">
      <c r="C35" s="95">
        <v>477.42</v>
      </c>
      <c r="D35" s="88">
        <f t="shared" si="0"/>
        <v>-1.0023038340736955E-3</v>
      </c>
      <c r="E35" s="53"/>
    </row>
    <row r="36" spans="1:7" ht="15.75" customHeight="1" x14ac:dyDescent="0.3">
      <c r="C36" s="95">
        <v>469.71</v>
      </c>
      <c r="D36" s="88">
        <f t="shared" si="0"/>
        <v>-1.7135419827202028E-2</v>
      </c>
      <c r="E36" s="53"/>
    </row>
    <row r="37" spans="1:7" ht="15.75" customHeight="1" x14ac:dyDescent="0.3">
      <c r="C37" s="95">
        <v>484.31</v>
      </c>
      <c r="D37" s="88">
        <f t="shared" si="0"/>
        <v>1.3414968434752953E-2</v>
      </c>
      <c r="E37" s="53"/>
    </row>
    <row r="38" spans="1:7" ht="15.75" customHeight="1" x14ac:dyDescent="0.3">
      <c r="C38" s="95">
        <v>478.74</v>
      </c>
      <c r="D38" s="88">
        <f t="shared" si="0"/>
        <v>1.7597860635824895E-3</v>
      </c>
      <c r="E38" s="53"/>
    </row>
    <row r="39" spans="1:7" ht="15.75" customHeight="1" x14ac:dyDescent="0.3">
      <c r="C39" s="95">
        <v>480.36</v>
      </c>
      <c r="D39" s="88">
        <f t="shared" si="0"/>
        <v>5.149623665251471E-3</v>
      </c>
      <c r="E39" s="53"/>
    </row>
    <row r="40" spans="1:7" ht="15.75" customHeight="1" x14ac:dyDescent="0.3">
      <c r="C40" s="95">
        <v>451.15</v>
      </c>
      <c r="D40" s="88">
        <f t="shared" si="0"/>
        <v>-5.5972077782125561E-2</v>
      </c>
      <c r="E40" s="53"/>
    </row>
    <row r="41" spans="1:7" ht="15.75" customHeight="1" x14ac:dyDescent="0.3">
      <c r="C41" s="95">
        <v>481.62</v>
      </c>
      <c r="D41" s="88">
        <f t="shared" si="0"/>
        <v>7.7861640221050963E-3</v>
      </c>
      <c r="E41" s="53"/>
    </row>
    <row r="42" spans="1:7" ht="15.75" customHeight="1" x14ac:dyDescent="0.3">
      <c r="C42" s="95">
        <v>480.84</v>
      </c>
      <c r="D42" s="88">
        <f t="shared" si="0"/>
        <v>6.1540199916718264E-3</v>
      </c>
      <c r="E42" s="53"/>
    </row>
    <row r="43" spans="1:7" ht="16.5" customHeight="1" x14ac:dyDescent="0.3">
      <c r="C43" s="96">
        <v>489.67</v>
      </c>
      <c r="D43" s="89">
        <f t="shared" si="0"/>
        <v>2.4630727413114516E-2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9557.98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477.899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92">
        <f>C46</f>
        <v>477.899</v>
      </c>
      <c r="C49" s="93">
        <f>-IF(C46&lt;=80,10%,IF(C46&lt;250,7.5%,5%))</f>
        <v>-0.05</v>
      </c>
      <c r="D49" s="81">
        <f>IF(C46&lt;=80,C46*0.9,IF(C46&lt;250,C46*0.925,C46*0.95))</f>
        <v>454.00405000000001</v>
      </c>
    </row>
    <row r="50" spans="1:6" ht="17.25" customHeight="1" x14ac:dyDescent="0.3">
      <c r="B50" s="293"/>
      <c r="C50" s="94">
        <f>IF(C46&lt;=80, 10%, IF(C46&lt;250, 7.5%, 5%))</f>
        <v>0.05</v>
      </c>
      <c r="D50" s="81">
        <f>IF(C46&lt;=80, C46*1.1, IF(C46&lt;250, C46*1.075, C46*1.05))</f>
        <v>501.79395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0" t="s">
        <v>44</v>
      </c>
      <c r="B1" s="300"/>
      <c r="C1" s="300"/>
      <c r="D1" s="300"/>
      <c r="E1" s="300"/>
      <c r="F1" s="300"/>
      <c r="G1" s="300"/>
      <c r="H1" s="300"/>
      <c r="I1" s="300"/>
    </row>
    <row r="2" spans="1:9" ht="18.75" customHeight="1" x14ac:dyDescent="0.25">
      <c r="A2" s="300"/>
      <c r="B2" s="300"/>
      <c r="C2" s="300"/>
      <c r="D2" s="300"/>
      <c r="E2" s="300"/>
      <c r="F2" s="300"/>
      <c r="G2" s="300"/>
      <c r="H2" s="300"/>
      <c r="I2" s="300"/>
    </row>
    <row r="3" spans="1:9" ht="18.75" customHeight="1" x14ac:dyDescent="0.25">
      <c r="A3" s="300"/>
      <c r="B3" s="300"/>
      <c r="C3" s="300"/>
      <c r="D3" s="300"/>
      <c r="E3" s="300"/>
      <c r="F3" s="300"/>
      <c r="G3" s="300"/>
      <c r="H3" s="300"/>
      <c r="I3" s="300"/>
    </row>
    <row r="4" spans="1:9" ht="18.75" customHeight="1" x14ac:dyDescent="0.25">
      <c r="A4" s="300"/>
      <c r="B4" s="300"/>
      <c r="C4" s="300"/>
      <c r="D4" s="300"/>
      <c r="E4" s="300"/>
      <c r="F4" s="300"/>
      <c r="G4" s="300"/>
      <c r="H4" s="300"/>
      <c r="I4" s="300"/>
    </row>
    <row r="5" spans="1:9" ht="18.75" customHeight="1" x14ac:dyDescent="0.25">
      <c r="A5" s="300"/>
      <c r="B5" s="300"/>
      <c r="C5" s="300"/>
      <c r="D5" s="300"/>
      <c r="E5" s="300"/>
      <c r="F5" s="300"/>
      <c r="G5" s="300"/>
      <c r="H5" s="300"/>
      <c r="I5" s="300"/>
    </row>
    <row r="6" spans="1:9" ht="18.75" customHeight="1" x14ac:dyDescent="0.25">
      <c r="A6" s="300"/>
      <c r="B6" s="300"/>
      <c r="C6" s="300"/>
      <c r="D6" s="300"/>
      <c r="E6" s="300"/>
      <c r="F6" s="300"/>
      <c r="G6" s="300"/>
      <c r="H6" s="300"/>
      <c r="I6" s="300"/>
    </row>
    <row r="7" spans="1:9" ht="18.75" customHeight="1" x14ac:dyDescent="0.25">
      <c r="A7" s="300"/>
      <c r="B7" s="300"/>
      <c r="C7" s="300"/>
      <c r="D7" s="300"/>
      <c r="E7" s="300"/>
      <c r="F7" s="300"/>
      <c r="G7" s="300"/>
      <c r="H7" s="300"/>
      <c r="I7" s="300"/>
    </row>
    <row r="8" spans="1:9" x14ac:dyDescent="0.25">
      <c r="A8" s="301" t="s">
        <v>45</v>
      </c>
      <c r="B8" s="301"/>
      <c r="C8" s="301"/>
      <c r="D8" s="301"/>
      <c r="E8" s="301"/>
      <c r="F8" s="301"/>
      <c r="G8" s="301"/>
      <c r="H8" s="301"/>
      <c r="I8" s="301"/>
    </row>
    <row r="9" spans="1:9" x14ac:dyDescent="0.25">
      <c r="A9" s="301"/>
      <c r="B9" s="301"/>
      <c r="C9" s="301"/>
      <c r="D9" s="301"/>
      <c r="E9" s="301"/>
      <c r="F9" s="301"/>
      <c r="G9" s="301"/>
      <c r="H9" s="301"/>
      <c r="I9" s="301"/>
    </row>
    <row r="10" spans="1:9" x14ac:dyDescent="0.25">
      <c r="A10" s="301"/>
      <c r="B10" s="301"/>
      <c r="C10" s="301"/>
      <c r="D10" s="301"/>
      <c r="E10" s="301"/>
      <c r="F10" s="301"/>
      <c r="G10" s="301"/>
      <c r="H10" s="301"/>
      <c r="I10" s="301"/>
    </row>
    <row r="11" spans="1:9" x14ac:dyDescent="0.25">
      <c r="A11" s="301"/>
      <c r="B11" s="301"/>
      <c r="C11" s="301"/>
      <c r="D11" s="301"/>
      <c r="E11" s="301"/>
      <c r="F11" s="301"/>
      <c r="G11" s="301"/>
      <c r="H11" s="301"/>
      <c r="I11" s="301"/>
    </row>
    <row r="12" spans="1:9" x14ac:dyDescent="0.25">
      <c r="A12" s="301"/>
      <c r="B12" s="301"/>
      <c r="C12" s="301"/>
      <c r="D12" s="301"/>
      <c r="E12" s="301"/>
      <c r="F12" s="301"/>
      <c r="G12" s="301"/>
      <c r="H12" s="301"/>
      <c r="I12" s="301"/>
    </row>
    <row r="13" spans="1:9" x14ac:dyDescent="0.25">
      <c r="A13" s="301"/>
      <c r="B13" s="301"/>
      <c r="C13" s="301"/>
      <c r="D13" s="301"/>
      <c r="E13" s="301"/>
      <c r="F13" s="301"/>
      <c r="G13" s="301"/>
      <c r="H13" s="301"/>
      <c r="I13" s="301"/>
    </row>
    <row r="14" spans="1:9" x14ac:dyDescent="0.25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 ht="19.5" customHeight="1" x14ac:dyDescent="0.3">
      <c r="A15" s="98"/>
    </row>
    <row r="16" spans="1:9" ht="19.5" customHeight="1" x14ac:dyDescent="0.3">
      <c r="A16" s="334" t="s">
        <v>30</v>
      </c>
      <c r="B16" s="335"/>
      <c r="C16" s="335"/>
      <c r="D16" s="335"/>
      <c r="E16" s="335"/>
      <c r="F16" s="335"/>
      <c r="G16" s="335"/>
      <c r="H16" s="336"/>
    </row>
    <row r="17" spans="1:14" ht="20.25" customHeight="1" x14ac:dyDescent="0.25">
      <c r="A17" s="337" t="s">
        <v>46</v>
      </c>
      <c r="B17" s="337"/>
      <c r="C17" s="337"/>
      <c r="D17" s="337"/>
      <c r="E17" s="337"/>
      <c r="F17" s="337"/>
      <c r="G17" s="337"/>
      <c r="H17" s="337"/>
    </row>
    <row r="18" spans="1:14" ht="26.25" customHeight="1" x14ac:dyDescent="0.4">
      <c r="A18" s="100" t="s">
        <v>32</v>
      </c>
      <c r="B18" s="333" t="s">
        <v>5</v>
      </c>
      <c r="C18" s="333"/>
      <c r="D18" s="265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38" t="s">
        <v>9</v>
      </c>
      <c r="C20" s="33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38" t="s">
        <v>11</v>
      </c>
      <c r="C21" s="338"/>
      <c r="D21" s="338"/>
      <c r="E21" s="338"/>
      <c r="F21" s="338"/>
      <c r="G21" s="338"/>
      <c r="H21" s="338"/>
      <c r="I21" s="104"/>
    </row>
    <row r="22" spans="1:14" ht="26.25" customHeight="1" x14ac:dyDescent="0.4">
      <c r="A22" s="100" t="s">
        <v>36</v>
      </c>
      <c r="B22" s="105">
        <v>42565.302384259259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42569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3" t="s">
        <v>126</v>
      </c>
      <c r="C26" s="333"/>
    </row>
    <row r="27" spans="1:14" ht="26.25" customHeight="1" x14ac:dyDescent="0.4">
      <c r="A27" s="109" t="s">
        <v>47</v>
      </c>
      <c r="B27" s="331" t="s">
        <v>127</v>
      </c>
      <c r="C27" s="331"/>
    </row>
    <row r="28" spans="1:14" ht="27" customHeight="1" x14ac:dyDescent="0.4">
      <c r="A28" s="109" t="s">
        <v>6</v>
      </c>
      <c r="B28" s="110">
        <v>96.5</v>
      </c>
    </row>
    <row r="29" spans="1:14" s="14" customFormat="1" ht="27" customHeight="1" x14ac:dyDescent="0.4">
      <c r="A29" s="109" t="s">
        <v>48</v>
      </c>
      <c r="B29" s="111">
        <v>0</v>
      </c>
      <c r="C29" s="308" t="s">
        <v>49</v>
      </c>
      <c r="D29" s="309"/>
      <c r="E29" s="309"/>
      <c r="F29" s="309"/>
      <c r="G29" s="31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96.5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424.39</v>
      </c>
      <c r="C31" s="311" t="s">
        <v>52</v>
      </c>
      <c r="D31" s="312"/>
      <c r="E31" s="312"/>
      <c r="F31" s="312"/>
      <c r="G31" s="312"/>
      <c r="H31" s="31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510.47</v>
      </c>
      <c r="C32" s="311" t="s">
        <v>54</v>
      </c>
      <c r="D32" s="312"/>
      <c r="E32" s="312"/>
      <c r="F32" s="312"/>
      <c r="G32" s="312"/>
      <c r="H32" s="31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0.8313710893882108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25</v>
      </c>
      <c r="C36" s="99"/>
      <c r="D36" s="314" t="s">
        <v>58</v>
      </c>
      <c r="E36" s="332"/>
      <c r="F36" s="314" t="s">
        <v>59</v>
      </c>
      <c r="G36" s="31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f>2159146+2268223</f>
        <v>4427369</v>
      </c>
      <c r="E38" s="133">
        <f>IF(ISBLANK(D38),"-",$D$48/$D$45*D38)</f>
        <v>6263939.8697152445</v>
      </c>
      <c r="F38" s="132">
        <f>2286717+2402442</f>
        <v>4689159</v>
      </c>
      <c r="G38" s="134">
        <f>IF(ISBLANK(F38),"-",$D$48/$F$45*F38)</f>
        <v>6145995.1153448317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f>2160873+2264304</f>
        <v>4425177</v>
      </c>
      <c r="E39" s="138">
        <f>IF(ISBLANK(D39),"-",$D$48/$D$45*D39)</f>
        <v>6260838.5794919953</v>
      </c>
      <c r="F39" s="137">
        <f>2302841+2407534</f>
        <v>4710375</v>
      </c>
      <c r="G39" s="139">
        <f>IF(ISBLANK(F39),"-",$D$48/$F$45*F39)</f>
        <v>6173802.5393130006</v>
      </c>
      <c r="I39" s="316">
        <f>ABS((F43/D43*D42)-F42)/D42</f>
        <v>1.1371970322879888E-2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f>2158120+2252989</f>
        <v>4411109</v>
      </c>
      <c r="E40" s="138">
        <f>IF(ISBLANK(D40),"-",$D$48/$D$45*D40)</f>
        <v>6240934.8610336613</v>
      </c>
      <c r="F40" s="137">
        <f>2337771+2429382</f>
        <v>4767153</v>
      </c>
      <c r="G40" s="139">
        <f>IF(ISBLANK(F40),"-",$D$48/$F$45*F40)</f>
        <v>6248220.4276079061</v>
      </c>
      <c r="I40" s="316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4421218.333333333</v>
      </c>
      <c r="E42" s="148">
        <f>AVERAGE(E38:E41)</f>
        <v>6255237.770080301</v>
      </c>
      <c r="F42" s="147">
        <f>AVERAGE(F38:F41)</f>
        <v>4722229</v>
      </c>
      <c r="G42" s="149">
        <f>AVERAGE(G38:G41)</f>
        <v>6189339.3607552461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26.43</v>
      </c>
      <c r="E43" s="140"/>
      <c r="F43" s="152">
        <v>28.53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21.97313789253041</v>
      </c>
      <c r="E44" s="155"/>
      <c r="F44" s="154">
        <f>F43*$B$34</f>
        <v>23.719017180245654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</v>
      </c>
      <c r="C45" s="153" t="s">
        <v>76</v>
      </c>
      <c r="D45" s="157">
        <f>D44*$B$30/100</f>
        <v>21.204078066291846</v>
      </c>
      <c r="E45" s="158"/>
      <c r="F45" s="157">
        <f>F44*$B$30/100</f>
        <v>22.888851578937057</v>
      </c>
      <c r="H45" s="150"/>
    </row>
    <row r="46" spans="1:14" ht="19.5" customHeight="1" x14ac:dyDescent="0.3">
      <c r="A46" s="302" t="s">
        <v>77</v>
      </c>
      <c r="B46" s="303"/>
      <c r="C46" s="153" t="s">
        <v>78</v>
      </c>
      <c r="D46" s="159">
        <f>D45/$B$45</f>
        <v>0.16963262453033476</v>
      </c>
      <c r="E46" s="160"/>
      <c r="F46" s="161">
        <f>F45/$B$45</f>
        <v>0.18311081263149645</v>
      </c>
      <c r="H46" s="150"/>
    </row>
    <row r="47" spans="1:14" ht="27" customHeight="1" x14ac:dyDescent="0.4">
      <c r="A47" s="304"/>
      <c r="B47" s="305"/>
      <c r="C47" s="162" t="s">
        <v>79</v>
      </c>
      <c r="D47" s="163">
        <v>0.24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36.084969014350008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6222288.5654177731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8.0075079966866938E-3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Cefuroxime axetil USP 250 mg</v>
      </c>
    </row>
    <row r="56" spans="1:12" ht="26.25" customHeight="1" x14ac:dyDescent="0.4">
      <c r="A56" s="177" t="s">
        <v>86</v>
      </c>
      <c r="B56" s="178">
        <v>250</v>
      </c>
      <c r="C56" s="99" t="str">
        <f>B20</f>
        <v xml:space="preserve">Cefuroxime Axetil </v>
      </c>
      <c r="H56" s="179"/>
    </row>
    <row r="57" spans="1:12" ht="18.75" x14ac:dyDescent="0.3">
      <c r="A57" s="176" t="s">
        <v>87</v>
      </c>
      <c r="B57" s="266">
        <f>Uniformity!C46</f>
        <v>477.899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10</v>
      </c>
      <c r="C60" s="319" t="s">
        <v>93</v>
      </c>
      <c r="D60" s="322">
        <v>479.16</v>
      </c>
      <c r="E60" s="182">
        <v>1</v>
      </c>
      <c r="F60" s="183">
        <f>3168199+3367376</f>
        <v>6535575</v>
      </c>
      <c r="G60" s="267">
        <f>IF(ISBLANK(F60),"-",(F60/$D$50*$D$47*$B$68)*($B$57/$D$60))</f>
        <v>251.42037044463106</v>
      </c>
      <c r="H60" s="184">
        <f t="shared" ref="H60:H71" si="0">IF(ISBLANK(F60),"-",G60/$B$56)</f>
        <v>1.0056814817785242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320"/>
      <c r="D61" s="323"/>
      <c r="E61" s="185">
        <v>2</v>
      </c>
      <c r="F61" s="137">
        <f>3153022+3342020</f>
        <v>6495042</v>
      </c>
      <c r="G61" s="268">
        <f>IF(ISBLANK(F61),"-",(F61/$D$50*$D$47*$B$68)*($B$57/$D$60))</f>
        <v>249.86108577951251</v>
      </c>
      <c r="H61" s="186">
        <f t="shared" si="0"/>
        <v>0.99944434311805008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20"/>
      <c r="D62" s="323"/>
      <c r="E62" s="185">
        <v>3</v>
      </c>
      <c r="F62" s="187">
        <f>3135297+3303946</f>
        <v>6439243</v>
      </c>
      <c r="G62" s="268">
        <f>IF(ISBLANK(F62),"-",(F62/$D$50*$D$47*$B$68)*($B$57/$D$60))</f>
        <v>247.71452556859913</v>
      </c>
      <c r="H62" s="186">
        <f t="shared" si="0"/>
        <v>0.99085810227439652</v>
      </c>
      <c r="L62" s="112"/>
    </row>
    <row r="63" spans="1:12" ht="27" customHeight="1" x14ac:dyDescent="0.4">
      <c r="A63" s="124" t="s">
        <v>96</v>
      </c>
      <c r="B63" s="125">
        <v>1</v>
      </c>
      <c r="C63" s="330"/>
      <c r="D63" s="324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19" t="s">
        <v>98</v>
      </c>
      <c r="D64" s="322">
        <v>476.59</v>
      </c>
      <c r="E64" s="182">
        <v>1</v>
      </c>
      <c r="F64" s="183">
        <f>3086614+3278171</f>
        <v>6364785</v>
      </c>
      <c r="G64" s="269">
        <f>IF(ISBLANK(F64),"-",(F64/$D$50*$D$47*$B$68)*($B$57/$D$64))</f>
        <v>246.17051131909156</v>
      </c>
      <c r="H64" s="190">
        <f t="shared" si="0"/>
        <v>0.98468204527636627</v>
      </c>
    </row>
    <row r="65" spans="1:8" ht="26.25" customHeight="1" x14ac:dyDescent="0.4">
      <c r="A65" s="124" t="s">
        <v>99</v>
      </c>
      <c r="B65" s="125">
        <v>1</v>
      </c>
      <c r="C65" s="320"/>
      <c r="D65" s="323"/>
      <c r="E65" s="185">
        <v>2</v>
      </c>
      <c r="F65" s="137">
        <f>3071746+3253534</f>
        <v>6325280</v>
      </c>
      <c r="G65" s="270">
        <f>IF(ISBLANK(F65),"-",(F65/$D$50*$D$47*$B$68)*($B$57/$D$64))</f>
        <v>244.64257816036573</v>
      </c>
      <c r="H65" s="191">
        <f t="shared" si="0"/>
        <v>0.97857031264146288</v>
      </c>
    </row>
    <row r="66" spans="1:8" ht="26.25" customHeight="1" x14ac:dyDescent="0.4">
      <c r="A66" s="124" t="s">
        <v>100</v>
      </c>
      <c r="B66" s="125">
        <v>1</v>
      </c>
      <c r="C66" s="320"/>
      <c r="D66" s="323"/>
      <c r="E66" s="185">
        <v>3</v>
      </c>
      <c r="F66" s="137">
        <f>3046350+3208647</f>
        <v>6254997</v>
      </c>
      <c r="G66" s="270">
        <f>IF(ISBLANK(F66),"-",(F66/$D$50*$D$47*$B$68)*($B$57/$D$64))</f>
        <v>241.92424564056503</v>
      </c>
      <c r="H66" s="191">
        <f t="shared" si="0"/>
        <v>0.96769698256226011</v>
      </c>
    </row>
    <row r="67" spans="1:8" ht="27" customHeight="1" x14ac:dyDescent="0.4">
      <c r="A67" s="124" t="s">
        <v>101</v>
      </c>
      <c r="B67" s="125">
        <v>1</v>
      </c>
      <c r="C67" s="330"/>
      <c r="D67" s="324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319" t="s">
        <v>103</v>
      </c>
      <c r="D68" s="322">
        <v>476.03</v>
      </c>
      <c r="E68" s="182">
        <v>1</v>
      </c>
      <c r="F68" s="183">
        <f>3105834+3295644</f>
        <v>6401478</v>
      </c>
      <c r="G68" s="269">
        <f>IF(ISBLANK(F68),"-",(F68/$D$50*$D$47*$B$68)*($B$57/$D$68))</f>
        <v>247.88094850195176</v>
      </c>
      <c r="H68" s="186">
        <f t="shared" si="0"/>
        <v>0.9915237940078071</v>
      </c>
    </row>
    <row r="69" spans="1:8" ht="27" customHeight="1" x14ac:dyDescent="0.4">
      <c r="A69" s="172" t="s">
        <v>104</v>
      </c>
      <c r="B69" s="194">
        <f>(D47*B68)/B56*B57</f>
        <v>458.78303999999997</v>
      </c>
      <c r="C69" s="320"/>
      <c r="D69" s="323"/>
      <c r="E69" s="185">
        <v>2</v>
      </c>
      <c r="F69" s="137">
        <f>3088867+3262479</f>
        <v>6351346</v>
      </c>
      <c r="G69" s="270">
        <f>IF(ISBLANK(F69),"-",(F69/$D$50*$D$47*$B$68)*($B$57/$D$68))</f>
        <v>245.93971435097916</v>
      </c>
      <c r="H69" s="186">
        <f t="shared" si="0"/>
        <v>0.98375885740391666</v>
      </c>
    </row>
    <row r="70" spans="1:8" ht="26.25" customHeight="1" x14ac:dyDescent="0.4">
      <c r="A70" s="325" t="s">
        <v>77</v>
      </c>
      <c r="B70" s="326"/>
      <c r="C70" s="320"/>
      <c r="D70" s="323"/>
      <c r="E70" s="185">
        <v>3</v>
      </c>
      <c r="F70" s="137">
        <f>3094413+3249408</f>
        <v>6343821</v>
      </c>
      <c r="G70" s="270">
        <f>IF(ISBLANK(F70),"-",(F70/$D$50*$D$47*$B$68)*($B$57/$D$68))</f>
        <v>245.64832787156337</v>
      </c>
      <c r="H70" s="186">
        <f t="shared" si="0"/>
        <v>0.98259331148625351</v>
      </c>
    </row>
    <row r="71" spans="1:8" ht="27" customHeight="1" x14ac:dyDescent="0.4">
      <c r="A71" s="327"/>
      <c r="B71" s="328"/>
      <c r="C71" s="321"/>
      <c r="D71" s="324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6">
        <f>AVERAGE(G60:G71)</f>
        <v>246.80025640413993</v>
      </c>
      <c r="H72" s="199">
        <f>AVERAGE(H60:H71)</f>
        <v>0.98720102561655965</v>
      </c>
    </row>
    <row r="73" spans="1:8" ht="26.25" customHeight="1" x14ac:dyDescent="0.4">
      <c r="C73" s="196"/>
      <c r="D73" s="196"/>
      <c r="E73" s="196"/>
      <c r="F73" s="200" t="s">
        <v>83</v>
      </c>
      <c r="G73" s="272">
        <f>STDEV(G60:G71)/G72</f>
        <v>1.1425689302328096E-2</v>
      </c>
      <c r="H73" s="272">
        <f>STDEV(H60:H71)/H72</f>
        <v>1.142568930232811E-2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306" t="str">
        <f>B20</f>
        <v xml:space="preserve">Cefuroxime Axetil </v>
      </c>
      <c r="D76" s="306"/>
      <c r="E76" s="205" t="s">
        <v>107</v>
      </c>
      <c r="F76" s="205"/>
      <c r="G76" s="206">
        <f>H72</f>
        <v>0.98720102561655965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9" t="str">
        <f>B26</f>
        <v xml:space="preserve">CEFUROXIME AXETIL </v>
      </c>
      <c r="C79" s="329"/>
    </row>
    <row r="80" spans="1:8" ht="26.25" customHeight="1" x14ac:dyDescent="0.4">
      <c r="A80" s="109" t="s">
        <v>47</v>
      </c>
      <c r="B80" s="329" t="str">
        <f>B27</f>
        <v>C66-1</v>
      </c>
      <c r="C80" s="329"/>
    </row>
    <row r="81" spans="1:12" ht="27" customHeight="1" x14ac:dyDescent="0.4">
      <c r="A81" s="109" t="s">
        <v>6</v>
      </c>
      <c r="B81" s="208">
        <f>B28</f>
        <v>96.5</v>
      </c>
    </row>
    <row r="82" spans="1:12" s="14" customFormat="1" ht="27" customHeight="1" x14ac:dyDescent="0.4">
      <c r="A82" s="109" t="s">
        <v>48</v>
      </c>
      <c r="B82" s="111">
        <v>0</v>
      </c>
      <c r="C82" s="308" t="s">
        <v>49</v>
      </c>
      <c r="D82" s="309"/>
      <c r="E82" s="309"/>
      <c r="F82" s="309"/>
      <c r="G82" s="31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96.5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424.39</v>
      </c>
      <c r="C84" s="311" t="s">
        <v>110</v>
      </c>
      <c r="D84" s="312"/>
      <c r="E84" s="312"/>
      <c r="F84" s="312"/>
      <c r="G84" s="312"/>
      <c r="H84" s="31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510.47</v>
      </c>
      <c r="C85" s="311" t="s">
        <v>111</v>
      </c>
      <c r="D85" s="312"/>
      <c r="E85" s="312"/>
      <c r="F85" s="312"/>
      <c r="G85" s="312"/>
      <c r="H85" s="31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0.8313710893882108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9" t="s">
        <v>58</v>
      </c>
      <c r="E89" s="210"/>
      <c r="F89" s="314" t="s">
        <v>59</v>
      </c>
      <c r="G89" s="315"/>
    </row>
    <row r="90" spans="1:12" ht="27" customHeight="1" x14ac:dyDescent="0.4">
      <c r="A90" s="124" t="s">
        <v>60</v>
      </c>
      <c r="B90" s="125">
        <v>10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13">
        <v>1</v>
      </c>
      <c r="D91" s="132">
        <v>0.81399999999999995</v>
      </c>
      <c r="E91" s="133">
        <f>IF(ISBLANK(D91),"-",$D$101/$D$98*D91)</f>
        <v>0.98786568793684992</v>
      </c>
      <c r="F91" s="132">
        <v>0.75</v>
      </c>
      <c r="G91" s="134">
        <f>IF(ISBLANK(F91),"-",$D$101/$F$98*F91)</f>
        <v>0.98251540426330131</v>
      </c>
      <c r="I91" s="135"/>
    </row>
    <row r="92" spans="1:12" ht="26.25" customHeight="1" x14ac:dyDescent="0.4">
      <c r="A92" s="124" t="s">
        <v>66</v>
      </c>
      <c r="B92" s="125">
        <v>5</v>
      </c>
      <c r="C92" s="197">
        <v>2</v>
      </c>
      <c r="D92" s="137">
        <v>0.80900000000000005</v>
      </c>
      <c r="E92" s="138">
        <f>IF(ISBLANK(D92),"-",$D$101/$D$98*D92)</f>
        <v>0.98179771688072692</v>
      </c>
      <c r="F92" s="137">
        <v>0.753</v>
      </c>
      <c r="G92" s="139">
        <f>IF(ISBLANK(F92),"-",$D$101/$F$98*F92)</f>
        <v>0.98644546588035453</v>
      </c>
      <c r="I92" s="316">
        <f>ABS((F96/D96*D95)-F95)/D95</f>
        <v>1.1787462190546193E-3</v>
      </c>
    </row>
    <row r="93" spans="1:12" ht="26.25" customHeight="1" x14ac:dyDescent="0.4">
      <c r="A93" s="124" t="s">
        <v>67</v>
      </c>
      <c r="B93" s="125">
        <v>50</v>
      </c>
      <c r="C93" s="197">
        <v>3</v>
      </c>
      <c r="D93" s="137">
        <v>0.80700000000000005</v>
      </c>
      <c r="E93" s="138">
        <f>IF(ISBLANK(D93),"-",$D$101/$D$98*D93)</f>
        <v>0.97937052845827766</v>
      </c>
      <c r="F93" s="137">
        <v>0.751</v>
      </c>
      <c r="G93" s="139">
        <f>IF(ISBLANK(F93),"-",$D$101/$F$98*F93)</f>
        <v>0.98382542480231905</v>
      </c>
      <c r="I93" s="316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0.81</v>
      </c>
      <c r="E95" s="148">
        <f>AVERAGE(E91:E94)</f>
        <v>0.98301131109195161</v>
      </c>
      <c r="F95" s="218">
        <f>AVERAGE(F91:F94)</f>
        <v>0.7513333333333333</v>
      </c>
      <c r="G95" s="219">
        <f>AVERAGE(G91:G94)</f>
        <v>0.98426209831532496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28.53</v>
      </c>
      <c r="E96" s="140"/>
      <c r="F96" s="152">
        <v>26.43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23.719017180245654</v>
      </c>
      <c r="E97" s="155"/>
      <c r="F97" s="154">
        <f>F96*$B$87</f>
        <v>21.97313789253041</v>
      </c>
    </row>
    <row r="98" spans="1:10" ht="19.5" customHeight="1" x14ac:dyDescent="0.3">
      <c r="A98" s="124" t="s">
        <v>75</v>
      </c>
      <c r="B98" s="224">
        <f>(B97/B96)*(B95/B94)*(B93/B92)*(B91/B90)*B89</f>
        <v>1250</v>
      </c>
      <c r="C98" s="222" t="s">
        <v>114</v>
      </c>
      <c r="D98" s="225">
        <f>D97*$B$83/100</f>
        <v>22.888851578937057</v>
      </c>
      <c r="E98" s="158"/>
      <c r="F98" s="157">
        <f>F97*$B$83/100</f>
        <v>21.204078066291846</v>
      </c>
    </row>
    <row r="99" spans="1:10" ht="19.5" customHeight="1" x14ac:dyDescent="0.3">
      <c r="A99" s="302" t="s">
        <v>77</v>
      </c>
      <c r="B99" s="317"/>
      <c r="C99" s="222" t="s">
        <v>115</v>
      </c>
      <c r="D99" s="226">
        <f>D98/$B$98</f>
        <v>1.8311081263149644E-2</v>
      </c>
      <c r="E99" s="158"/>
      <c r="F99" s="161">
        <f>F98/$B$98</f>
        <v>1.6963262453033475E-2</v>
      </c>
      <c r="G99" s="227"/>
      <c r="H99" s="150"/>
    </row>
    <row r="100" spans="1:10" ht="19.5" customHeight="1" x14ac:dyDescent="0.3">
      <c r="A100" s="304"/>
      <c r="B100" s="318"/>
      <c r="C100" s="222" t="s">
        <v>79</v>
      </c>
      <c r="D100" s="228">
        <f>$B$56/$B$116</f>
        <v>2.2222222222222223E-2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33.412008346620382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0.98363670470363829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3.1711370996084691E-3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4</v>
      </c>
      <c r="C108" s="243">
        <v>1</v>
      </c>
      <c r="D108" s="339">
        <v>0.75800000000000001</v>
      </c>
      <c r="E108" s="273">
        <f t="shared" ref="E108:E113" si="1">IF(ISBLANK(D108),"-",D108/$D$103*$D$100*$B$116)</f>
        <v>192.65242857838945</v>
      </c>
      <c r="F108" s="244">
        <f t="shared" ref="F108:F113" si="2">IF(ISBLANK(D108), "-", E108/$B$56)</f>
        <v>0.77060971431355774</v>
      </c>
    </row>
    <row r="109" spans="1:10" ht="26.25" customHeight="1" x14ac:dyDescent="0.4">
      <c r="A109" s="124" t="s">
        <v>94</v>
      </c>
      <c r="B109" s="125">
        <v>50</v>
      </c>
      <c r="C109" s="243">
        <v>2</v>
      </c>
      <c r="D109" s="339">
        <v>0.71599999999999997</v>
      </c>
      <c r="E109" s="274">
        <f t="shared" si="1"/>
        <v>181.97775575478474</v>
      </c>
      <c r="F109" s="245">
        <f t="shared" si="2"/>
        <v>0.7279110230191389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339">
        <v>0.68600000000000005</v>
      </c>
      <c r="E110" s="274">
        <f t="shared" si="1"/>
        <v>174.35298945220998</v>
      </c>
      <c r="F110" s="245">
        <f t="shared" si="2"/>
        <v>0.69741195780883991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339">
        <v>0.71699999999999997</v>
      </c>
      <c r="E111" s="274">
        <f t="shared" si="1"/>
        <v>182.23191463153722</v>
      </c>
      <c r="F111" s="245">
        <f t="shared" si="2"/>
        <v>0.72892765852614894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339">
        <v>0.72299999999999998</v>
      </c>
      <c r="E112" s="274">
        <f t="shared" si="1"/>
        <v>183.75686789205218</v>
      </c>
      <c r="F112" s="245">
        <f t="shared" si="2"/>
        <v>0.73502747156820869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340">
        <v>0.74099999999999999</v>
      </c>
      <c r="E113" s="275">
        <f t="shared" si="1"/>
        <v>188.33172767359707</v>
      </c>
      <c r="F113" s="247">
        <f t="shared" si="2"/>
        <v>0.75332691069438829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101</v>
      </c>
      <c r="B115" s="125">
        <v>1</v>
      </c>
      <c r="C115" s="243"/>
      <c r="D115" s="249" t="s">
        <v>70</v>
      </c>
      <c r="E115" s="277">
        <f>AVERAGE(E108:E113)</f>
        <v>183.88394733042844</v>
      </c>
      <c r="F115" s="250">
        <f>AVERAGE(F108:F113)</f>
        <v>0.73553578932171371</v>
      </c>
    </row>
    <row r="116" spans="1:10" ht="27" customHeight="1" x14ac:dyDescent="0.4">
      <c r="A116" s="124" t="s">
        <v>102</v>
      </c>
      <c r="B116" s="156">
        <f>(B115/B114)*(B113/B112)*(B111/B110)*(B109/B108)*B107</f>
        <v>11250</v>
      </c>
      <c r="C116" s="251"/>
      <c r="D116" s="216" t="s">
        <v>83</v>
      </c>
      <c r="E116" s="252">
        <f>STDEV(E108:E113)/E115</f>
        <v>3.3864575517504499E-2</v>
      </c>
      <c r="F116" s="252">
        <f>STDEV(F108:F113)/F115</f>
        <v>3.3864575517504485E-2</v>
      </c>
      <c r="I116" s="98"/>
    </row>
    <row r="117" spans="1:10" ht="27" customHeight="1" x14ac:dyDescent="0.4">
      <c r="A117" s="302" t="s">
        <v>77</v>
      </c>
      <c r="B117" s="303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6"/>
    </row>
    <row r="118" spans="1:10" ht="19.5" customHeight="1" x14ac:dyDescent="0.3">
      <c r="A118" s="304"/>
      <c r="B118" s="30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306" t="str">
        <f>B20</f>
        <v xml:space="preserve">Cefuroxime Axetil </v>
      </c>
      <c r="D120" s="306"/>
      <c r="E120" s="205" t="s">
        <v>123</v>
      </c>
      <c r="F120" s="205"/>
      <c r="G120" s="206">
        <f>F115</f>
        <v>0.73553578932171371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07" t="s">
        <v>25</v>
      </c>
      <c r="C122" s="307"/>
      <c r="E122" s="211" t="s">
        <v>26</v>
      </c>
      <c r="F122" s="258"/>
      <c r="G122" s="307" t="s">
        <v>27</v>
      </c>
      <c r="H122" s="307"/>
    </row>
    <row r="123" spans="1:10" ht="69.95" customHeight="1" x14ac:dyDescent="0.3">
      <c r="A123" s="259" t="s">
        <v>28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29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3" zoomScale="70" zoomScaleNormal="40" zoomScalePageLayoutView="70" workbookViewId="0">
      <selection activeCell="D47" sqref="D47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300" t="s">
        <v>44</v>
      </c>
      <c r="B1" s="300"/>
      <c r="C1" s="300"/>
      <c r="D1" s="300"/>
      <c r="E1" s="300"/>
      <c r="F1" s="300"/>
      <c r="G1" s="300"/>
      <c r="H1" s="300"/>
      <c r="I1" s="300"/>
    </row>
    <row r="2" spans="1:9" ht="18.75" customHeight="1" x14ac:dyDescent="0.25">
      <c r="A2" s="300"/>
      <c r="B2" s="300"/>
      <c r="C2" s="300"/>
      <c r="D2" s="300"/>
      <c r="E2" s="300"/>
      <c r="F2" s="300"/>
      <c r="G2" s="300"/>
      <c r="H2" s="300"/>
      <c r="I2" s="300"/>
    </row>
    <row r="3" spans="1:9" ht="18.75" customHeight="1" x14ac:dyDescent="0.25">
      <c r="A3" s="300"/>
      <c r="B3" s="300"/>
      <c r="C3" s="300"/>
      <c r="D3" s="300"/>
      <c r="E3" s="300"/>
      <c r="F3" s="300"/>
      <c r="G3" s="300"/>
      <c r="H3" s="300"/>
      <c r="I3" s="300"/>
    </row>
    <row r="4" spans="1:9" ht="18.75" customHeight="1" x14ac:dyDescent="0.25">
      <c r="A4" s="300"/>
      <c r="B4" s="300"/>
      <c r="C4" s="300"/>
      <c r="D4" s="300"/>
      <c r="E4" s="300"/>
      <c r="F4" s="300"/>
      <c r="G4" s="300"/>
      <c r="H4" s="300"/>
      <c r="I4" s="300"/>
    </row>
    <row r="5" spans="1:9" ht="18.75" customHeight="1" x14ac:dyDescent="0.25">
      <c r="A5" s="300"/>
      <c r="B5" s="300"/>
      <c r="C5" s="300"/>
      <c r="D5" s="300"/>
      <c r="E5" s="300"/>
      <c r="F5" s="300"/>
      <c r="G5" s="300"/>
      <c r="H5" s="300"/>
      <c r="I5" s="300"/>
    </row>
    <row r="6" spans="1:9" ht="18.75" customHeight="1" x14ac:dyDescent="0.25">
      <c r="A6" s="300"/>
      <c r="B6" s="300"/>
      <c r="C6" s="300"/>
      <c r="D6" s="300"/>
      <c r="E6" s="300"/>
      <c r="F6" s="300"/>
      <c r="G6" s="300"/>
      <c r="H6" s="300"/>
      <c r="I6" s="300"/>
    </row>
    <row r="7" spans="1:9" ht="18.75" customHeight="1" x14ac:dyDescent="0.25">
      <c r="A7" s="300"/>
      <c r="B7" s="300"/>
      <c r="C7" s="300"/>
      <c r="D7" s="300"/>
      <c r="E7" s="300"/>
      <c r="F7" s="300"/>
      <c r="G7" s="300"/>
      <c r="H7" s="300"/>
      <c r="I7" s="300"/>
    </row>
    <row r="8" spans="1:9" x14ac:dyDescent="0.25">
      <c r="A8" s="301" t="s">
        <v>45</v>
      </c>
      <c r="B8" s="301"/>
      <c r="C8" s="301"/>
      <c r="D8" s="301"/>
      <c r="E8" s="301"/>
      <c r="F8" s="301"/>
      <c r="G8" s="301"/>
      <c r="H8" s="301"/>
      <c r="I8" s="301"/>
    </row>
    <row r="9" spans="1:9" x14ac:dyDescent="0.25">
      <c r="A9" s="301"/>
      <c r="B9" s="301"/>
      <c r="C9" s="301"/>
      <c r="D9" s="301"/>
      <c r="E9" s="301"/>
      <c r="F9" s="301"/>
      <c r="G9" s="301"/>
      <c r="H9" s="301"/>
      <c r="I9" s="301"/>
    </row>
    <row r="10" spans="1:9" x14ac:dyDescent="0.25">
      <c r="A10" s="301"/>
      <c r="B10" s="301"/>
      <c r="C10" s="301"/>
      <c r="D10" s="301"/>
      <c r="E10" s="301"/>
      <c r="F10" s="301"/>
      <c r="G10" s="301"/>
      <c r="H10" s="301"/>
      <c r="I10" s="301"/>
    </row>
    <row r="11" spans="1:9" x14ac:dyDescent="0.25">
      <c r="A11" s="301"/>
      <c r="B11" s="301"/>
      <c r="C11" s="301"/>
      <c r="D11" s="301"/>
      <c r="E11" s="301"/>
      <c r="F11" s="301"/>
      <c r="G11" s="301"/>
      <c r="H11" s="301"/>
      <c r="I11" s="301"/>
    </row>
    <row r="12" spans="1:9" x14ac:dyDescent="0.25">
      <c r="A12" s="301"/>
      <c r="B12" s="301"/>
      <c r="C12" s="301"/>
      <c r="D12" s="301"/>
      <c r="E12" s="301"/>
      <c r="F12" s="301"/>
      <c r="G12" s="301"/>
      <c r="H12" s="301"/>
      <c r="I12" s="301"/>
    </row>
    <row r="13" spans="1:9" x14ac:dyDescent="0.25">
      <c r="A13" s="301"/>
      <c r="B13" s="301"/>
      <c r="C13" s="301"/>
      <c r="D13" s="301"/>
      <c r="E13" s="301"/>
      <c r="F13" s="301"/>
      <c r="G13" s="301"/>
      <c r="H13" s="301"/>
      <c r="I13" s="301"/>
    </row>
    <row r="14" spans="1:9" x14ac:dyDescent="0.25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 ht="19.5" customHeight="1" thickBot="1" x14ac:dyDescent="0.35">
      <c r="A15" s="205"/>
    </row>
    <row r="16" spans="1:9" ht="19.5" customHeight="1" thickBot="1" x14ac:dyDescent="0.35">
      <c r="A16" s="334" t="s">
        <v>30</v>
      </c>
      <c r="B16" s="335"/>
      <c r="C16" s="335"/>
      <c r="D16" s="335"/>
      <c r="E16" s="335"/>
      <c r="F16" s="335"/>
      <c r="G16" s="335"/>
      <c r="H16" s="336"/>
    </row>
    <row r="17" spans="1:14" ht="20.25" customHeight="1" x14ac:dyDescent="0.25">
      <c r="A17" s="337" t="s">
        <v>46</v>
      </c>
      <c r="B17" s="337"/>
      <c r="C17" s="337"/>
      <c r="D17" s="337"/>
      <c r="E17" s="337"/>
      <c r="F17" s="337"/>
      <c r="G17" s="337"/>
      <c r="H17" s="337"/>
    </row>
    <row r="18" spans="1:14" ht="26.25" customHeight="1" x14ac:dyDescent="0.4">
      <c r="A18" s="100" t="s">
        <v>32</v>
      </c>
      <c r="B18" s="333" t="s">
        <v>5</v>
      </c>
      <c r="C18" s="333"/>
      <c r="D18" s="265"/>
      <c r="E18" s="101"/>
      <c r="F18" s="278"/>
      <c r="G18" s="278"/>
      <c r="H18" s="278"/>
    </row>
    <row r="19" spans="1:14" ht="26.25" customHeight="1" x14ac:dyDescent="0.4">
      <c r="A19" s="100" t="s">
        <v>33</v>
      </c>
      <c r="B19" s="283" t="s">
        <v>7</v>
      </c>
      <c r="C19" s="278">
        <v>29</v>
      </c>
      <c r="D19" s="278"/>
      <c r="E19" s="278"/>
      <c r="F19" s="278"/>
      <c r="G19" s="278"/>
      <c r="H19" s="278"/>
    </row>
    <row r="20" spans="1:14" ht="26.25" customHeight="1" x14ac:dyDescent="0.4">
      <c r="A20" s="100" t="s">
        <v>34</v>
      </c>
      <c r="B20" s="338" t="s">
        <v>9</v>
      </c>
      <c r="C20" s="338"/>
      <c r="D20" s="278"/>
      <c r="E20" s="278"/>
      <c r="F20" s="278"/>
      <c r="G20" s="278"/>
      <c r="H20" s="278"/>
    </row>
    <row r="21" spans="1:14" ht="26.25" customHeight="1" x14ac:dyDescent="0.4">
      <c r="A21" s="100" t="s">
        <v>35</v>
      </c>
      <c r="B21" s="338" t="s">
        <v>11</v>
      </c>
      <c r="C21" s="338"/>
      <c r="D21" s="338"/>
      <c r="E21" s="338"/>
      <c r="F21" s="338"/>
      <c r="G21" s="338"/>
      <c r="H21" s="338"/>
      <c r="I21" s="104"/>
    </row>
    <row r="22" spans="1:14" ht="26.25" customHeight="1" x14ac:dyDescent="0.4">
      <c r="A22" s="100" t="s">
        <v>36</v>
      </c>
      <c r="B22" s="105">
        <v>42565.302384259259</v>
      </c>
      <c r="C22" s="278"/>
      <c r="D22" s="278"/>
      <c r="E22" s="278"/>
      <c r="F22" s="278"/>
      <c r="G22" s="278"/>
      <c r="H22" s="278"/>
    </row>
    <row r="23" spans="1:14" ht="26.25" customHeight="1" x14ac:dyDescent="0.4">
      <c r="A23" s="100" t="s">
        <v>37</v>
      </c>
      <c r="B23" s="105">
        <v>42569</v>
      </c>
      <c r="C23" s="278"/>
      <c r="D23" s="278"/>
      <c r="E23" s="278"/>
      <c r="F23" s="278"/>
      <c r="G23" s="278"/>
      <c r="H23" s="278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59" t="s">
        <v>4</v>
      </c>
      <c r="B26" s="333" t="s">
        <v>126</v>
      </c>
      <c r="C26" s="333"/>
    </row>
    <row r="27" spans="1:14" ht="26.25" customHeight="1" x14ac:dyDescent="0.4">
      <c r="A27" s="216" t="s">
        <v>47</v>
      </c>
      <c r="B27" s="331" t="s">
        <v>127</v>
      </c>
      <c r="C27" s="331"/>
    </row>
    <row r="28" spans="1:14" ht="27" customHeight="1" thickBot="1" x14ac:dyDescent="0.45">
      <c r="A28" s="216" t="s">
        <v>6</v>
      </c>
      <c r="B28" s="208">
        <v>96.5</v>
      </c>
    </row>
    <row r="29" spans="1:14" s="16" customFormat="1" ht="27" customHeight="1" thickBot="1" x14ac:dyDescent="0.45">
      <c r="A29" s="216" t="s">
        <v>48</v>
      </c>
      <c r="B29" s="111">
        <v>0</v>
      </c>
      <c r="C29" s="308" t="s">
        <v>49</v>
      </c>
      <c r="D29" s="309"/>
      <c r="E29" s="309"/>
      <c r="F29" s="309"/>
      <c r="G29" s="310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50</v>
      </c>
      <c r="B30" s="279">
        <f>B28-B29</f>
        <v>96.5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51</v>
      </c>
      <c r="B31" s="116">
        <v>424.39</v>
      </c>
      <c r="C31" s="311" t="s">
        <v>52</v>
      </c>
      <c r="D31" s="312"/>
      <c r="E31" s="312"/>
      <c r="F31" s="312"/>
      <c r="G31" s="312"/>
      <c r="H31" s="313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53</v>
      </c>
      <c r="B32" s="116">
        <v>510.47</v>
      </c>
      <c r="C32" s="311" t="s">
        <v>54</v>
      </c>
      <c r="D32" s="312"/>
      <c r="E32" s="312"/>
      <c r="F32" s="312"/>
      <c r="G32" s="312"/>
      <c r="H32" s="313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55</v>
      </c>
      <c r="B34" s="121">
        <f>B31/B32</f>
        <v>0.8313710893882108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79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57</v>
      </c>
      <c r="B36" s="123"/>
      <c r="C36" s="205"/>
      <c r="D36" s="314" t="s">
        <v>58</v>
      </c>
      <c r="E36" s="332"/>
      <c r="F36" s="314" t="s">
        <v>59</v>
      </c>
      <c r="G36" s="315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60</v>
      </c>
      <c r="B37" s="125"/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65</v>
      </c>
      <c r="B38" s="125"/>
      <c r="C38" s="131">
        <v>1</v>
      </c>
      <c r="D38" s="132"/>
      <c r="E38" s="133" t="str">
        <f>IF(ISBLANK(D38),"-",$D$48/$D$45*D38)</f>
        <v>-</v>
      </c>
      <c r="F38" s="13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66</v>
      </c>
      <c r="B39" s="125"/>
      <c r="C39" s="156">
        <v>2</v>
      </c>
      <c r="D39" s="137"/>
      <c r="E39" s="138" t="str">
        <f>IF(ISBLANK(D39),"-",$D$48/$D$45*D39)</f>
        <v>-</v>
      </c>
      <c r="F39" s="137"/>
      <c r="G39" s="139" t="str">
        <f>IF(ISBLANK(F39),"-",$D$48/$F$45*F39)</f>
        <v>-</v>
      </c>
      <c r="I39" s="316" t="e">
        <f>ABS((F43/D43*D42)-F42)/D42</f>
        <v>#DIV/0!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/>
      <c r="C40" s="156">
        <v>3</v>
      </c>
      <c r="D40" s="137"/>
      <c r="E40" s="138" t="str">
        <f>IF(ISBLANK(D40),"-",$D$48/$D$45*D40)</f>
        <v>-</v>
      </c>
      <c r="F40" s="137"/>
      <c r="G40" s="139" t="str">
        <f>IF(ISBLANK(F40),"-",$D$48/$F$45*F40)</f>
        <v>-</v>
      </c>
      <c r="I40" s="316"/>
      <c r="L40" s="117"/>
      <c r="M40" s="117"/>
      <c r="N40" s="205"/>
    </row>
    <row r="41" spans="1:14" ht="27" customHeight="1" thickBot="1" x14ac:dyDescent="0.45">
      <c r="A41" s="124" t="s">
        <v>68</v>
      </c>
      <c r="B41" s="125"/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45">
      <c r="A42" s="124" t="s">
        <v>69</v>
      </c>
      <c r="B42" s="125"/>
      <c r="C42" s="146" t="s">
        <v>70</v>
      </c>
      <c r="D42" s="147" t="e">
        <f>AVERAGE(D38:D41)</f>
        <v>#DIV/0!</v>
      </c>
      <c r="E42" s="148" t="e">
        <f>AVERAGE(E38:E41)</f>
        <v>#DIV/0!</v>
      </c>
      <c r="F42" s="147" t="e">
        <f>AVERAGE(F38:F41)</f>
        <v>#DIV/0!</v>
      </c>
      <c r="G42" s="149" t="e">
        <f>AVERAGE(G38:G41)</f>
        <v>#DIV/0!</v>
      </c>
      <c r="H42" s="150"/>
    </row>
    <row r="43" spans="1:14" ht="26.25" customHeight="1" x14ac:dyDescent="0.4">
      <c r="A43" s="124" t="s">
        <v>71</v>
      </c>
      <c r="B43" s="125"/>
      <c r="C43" s="151" t="s">
        <v>72</v>
      </c>
      <c r="D43" s="152"/>
      <c r="E43" s="205"/>
      <c r="F43" s="152"/>
      <c r="H43" s="150"/>
    </row>
    <row r="44" spans="1:14" ht="26.25" customHeight="1" x14ac:dyDescent="0.4">
      <c r="A44" s="124" t="s">
        <v>73</v>
      </c>
      <c r="B44" s="125"/>
      <c r="C44" s="153" t="s">
        <v>74</v>
      </c>
      <c r="D44" s="154">
        <f>D43*$B$34</f>
        <v>0</v>
      </c>
      <c r="E44" s="224"/>
      <c r="F44" s="154">
        <f>F43*$B$34</f>
        <v>0</v>
      </c>
      <c r="H44" s="150"/>
    </row>
    <row r="45" spans="1:14" ht="19.5" customHeight="1" thickBot="1" x14ac:dyDescent="0.35">
      <c r="A45" s="124" t="s">
        <v>75</v>
      </c>
      <c r="B45" s="156" t="e">
        <f>(B44/B43)*(B42/B41)*(B40/B39)*(B38/B37)*B36</f>
        <v>#DIV/0!</v>
      </c>
      <c r="C45" s="153" t="s">
        <v>76</v>
      </c>
      <c r="D45" s="157">
        <f>D44*$B$30/100</f>
        <v>0</v>
      </c>
      <c r="E45" s="201"/>
      <c r="F45" s="157">
        <f>F44*$B$30/100</f>
        <v>0</v>
      </c>
      <c r="H45" s="150"/>
    </row>
    <row r="46" spans="1:14" ht="19.5" customHeight="1" thickBot="1" x14ac:dyDescent="0.35">
      <c r="A46" s="302" t="s">
        <v>77</v>
      </c>
      <c r="B46" s="303"/>
      <c r="C46" s="153" t="s">
        <v>78</v>
      </c>
      <c r="D46" s="159" t="e">
        <f>D45/$B$45</f>
        <v>#DIV/0!</v>
      </c>
      <c r="E46" s="160"/>
      <c r="F46" s="161" t="e">
        <f>F45/$B$45</f>
        <v>#DIV/0!</v>
      </c>
      <c r="H46" s="150"/>
    </row>
    <row r="47" spans="1:14" ht="27" customHeight="1" thickBot="1" x14ac:dyDescent="0.45">
      <c r="A47" s="304"/>
      <c r="B47" s="305"/>
      <c r="C47" s="162" t="s">
        <v>79</v>
      </c>
      <c r="D47" s="163"/>
      <c r="E47" s="164"/>
      <c r="F47" s="160"/>
      <c r="H47" s="150"/>
    </row>
    <row r="48" spans="1:14" ht="18.75" x14ac:dyDescent="0.3">
      <c r="C48" s="165" t="s">
        <v>80</v>
      </c>
      <c r="D48" s="157" t="e">
        <f>D47*$B$45</f>
        <v>#DIV/0!</v>
      </c>
      <c r="F48" s="166"/>
      <c r="H48" s="150"/>
    </row>
    <row r="49" spans="1:12" ht="19.5" customHeight="1" thickBot="1" x14ac:dyDescent="0.35">
      <c r="C49" s="167" t="s">
        <v>81</v>
      </c>
      <c r="D49" s="168" t="e">
        <f>D48/B34</f>
        <v>#DIV/0!</v>
      </c>
      <c r="F49" s="166"/>
      <c r="H49" s="150"/>
    </row>
    <row r="50" spans="1:12" ht="18.75" x14ac:dyDescent="0.3">
      <c r="C50" s="122" t="s">
        <v>82</v>
      </c>
      <c r="D50" s="169" t="e">
        <f>AVERAGE(E38:E41,G38:G41)</f>
        <v>#DIV/0!</v>
      </c>
      <c r="F50" s="170"/>
      <c r="H50" s="150"/>
    </row>
    <row r="51" spans="1:12" ht="18.75" x14ac:dyDescent="0.3">
      <c r="C51" s="124" t="s">
        <v>83</v>
      </c>
      <c r="D51" s="171" t="e">
        <f>STDEV(E38:E41,G38:G41)/D50</f>
        <v>#DIV/0!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0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205" t="s">
        <v>85</v>
      </c>
      <c r="B55" s="177" t="str">
        <f>B21</f>
        <v>Each tablet contains Cefuroxime axetil USP 250 mg</v>
      </c>
    </row>
    <row r="56" spans="1:12" ht="26.25" customHeight="1" x14ac:dyDescent="0.4">
      <c r="A56" s="177" t="s">
        <v>86</v>
      </c>
      <c r="B56" s="178">
        <v>250</v>
      </c>
      <c r="C56" s="205" t="str">
        <f>B20</f>
        <v xml:space="preserve">Cefuroxime Axetil </v>
      </c>
      <c r="H56" s="224"/>
    </row>
    <row r="57" spans="1:12" ht="18.75" x14ac:dyDescent="0.3">
      <c r="A57" s="177" t="s">
        <v>87</v>
      </c>
      <c r="B57" s="266">
        <f>Uniformity!C46</f>
        <v>477.899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88</v>
      </c>
      <c r="B59" s="123"/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 x14ac:dyDescent="0.4">
      <c r="A60" s="124" t="s">
        <v>92</v>
      </c>
      <c r="B60" s="125"/>
      <c r="C60" s="319" t="s">
        <v>93</v>
      </c>
      <c r="D60" s="322"/>
      <c r="E60" s="182">
        <v>1</v>
      </c>
      <c r="F60" s="183"/>
      <c r="G60" s="267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6" customFormat="1" ht="26.25" customHeight="1" x14ac:dyDescent="0.4">
      <c r="A61" s="124" t="s">
        <v>94</v>
      </c>
      <c r="B61" s="125"/>
      <c r="C61" s="320"/>
      <c r="D61" s="323"/>
      <c r="E61" s="185">
        <v>2</v>
      </c>
      <c r="F61" s="137"/>
      <c r="G61" s="268" t="str">
        <f>IF(ISBLANK(F61),"-",(F61/$D$50*$D$47*$B$68)*($B$57/$D$60))</f>
        <v>-</v>
      </c>
      <c r="H61" s="186" t="str">
        <f t="shared" si="0"/>
        <v>-</v>
      </c>
      <c r="L61" s="112"/>
    </row>
    <row r="62" spans="1:12" s="16" customFormat="1" ht="26.25" customHeight="1" x14ac:dyDescent="0.4">
      <c r="A62" s="124" t="s">
        <v>95</v>
      </c>
      <c r="B62" s="125"/>
      <c r="C62" s="320"/>
      <c r="D62" s="323"/>
      <c r="E62" s="185">
        <v>3</v>
      </c>
      <c r="F62" s="187"/>
      <c r="G62" s="268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thickBot="1" x14ac:dyDescent="0.45">
      <c r="A63" s="124" t="s">
        <v>96</v>
      </c>
      <c r="B63" s="125"/>
      <c r="C63" s="330"/>
      <c r="D63" s="324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/>
      <c r="C64" s="319" t="s">
        <v>98</v>
      </c>
      <c r="D64" s="322"/>
      <c r="E64" s="182">
        <v>1</v>
      </c>
      <c r="F64" s="183"/>
      <c r="G64" s="269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99</v>
      </c>
      <c r="B65" s="125"/>
      <c r="C65" s="320"/>
      <c r="D65" s="323"/>
      <c r="E65" s="185">
        <v>2</v>
      </c>
      <c r="F65" s="137"/>
      <c r="G65" s="270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100</v>
      </c>
      <c r="B66" s="125"/>
      <c r="C66" s="320"/>
      <c r="D66" s="323"/>
      <c r="E66" s="185">
        <v>3</v>
      </c>
      <c r="F66" s="137"/>
      <c r="G66" s="270" t="str">
        <f>IF(ISBLANK(F66),"-",(F66/$D$50*$D$47*$B$68)*($B$57/$D$64))</f>
        <v>-</v>
      </c>
      <c r="H66" s="191" t="str">
        <f t="shared" si="0"/>
        <v>-</v>
      </c>
    </row>
    <row r="67" spans="1:8" ht="27" customHeight="1" thickBot="1" x14ac:dyDescent="0.45">
      <c r="A67" s="124" t="s">
        <v>101</v>
      </c>
      <c r="B67" s="125"/>
      <c r="C67" s="330"/>
      <c r="D67" s="324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/>
      <c r="C68" s="319" t="s">
        <v>103</v>
      </c>
      <c r="D68" s="322"/>
      <c r="E68" s="182">
        <v>1</v>
      </c>
      <c r="F68" s="183"/>
      <c r="G68" s="269" t="str">
        <f>IF(ISBLANK(F68),"-",(F68/$D$50*$D$47*$B$68)*($B$57/$D$68))</f>
        <v>-</v>
      </c>
      <c r="H68" s="186" t="str">
        <f t="shared" si="0"/>
        <v>-</v>
      </c>
    </row>
    <row r="69" spans="1:8" ht="27" customHeight="1" thickBot="1" x14ac:dyDescent="0.45">
      <c r="A69" s="172" t="s">
        <v>104</v>
      </c>
      <c r="B69" s="194">
        <f>(D47*B68)/B56*B57</f>
        <v>0</v>
      </c>
      <c r="C69" s="320"/>
      <c r="D69" s="323"/>
      <c r="E69" s="185">
        <v>2</v>
      </c>
      <c r="F69" s="137"/>
      <c r="G69" s="270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5" t="s">
        <v>77</v>
      </c>
      <c r="B70" s="326"/>
      <c r="C70" s="320"/>
      <c r="D70" s="323"/>
      <c r="E70" s="185">
        <v>3</v>
      </c>
      <c r="F70" s="137"/>
      <c r="G70" s="270" t="str">
        <f>IF(ISBLANK(F70),"-",(F70/$D$50*$D$47*$B$68)*($B$57/$D$68))</f>
        <v>-</v>
      </c>
      <c r="H70" s="186" t="str">
        <f t="shared" si="0"/>
        <v>-</v>
      </c>
    </row>
    <row r="71" spans="1:8" ht="27" customHeight="1" thickBot="1" x14ac:dyDescent="0.45">
      <c r="A71" s="327"/>
      <c r="B71" s="328"/>
      <c r="C71" s="321"/>
      <c r="D71" s="324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224"/>
      <c r="B72" s="224"/>
      <c r="C72" s="224"/>
      <c r="D72" s="224"/>
      <c r="E72" s="224"/>
      <c r="F72" s="198" t="s">
        <v>70</v>
      </c>
      <c r="G72" s="276" t="e">
        <f>AVERAGE(G60:G71)</f>
        <v>#DIV/0!</v>
      </c>
      <c r="H72" s="199" t="e">
        <f>AVERAGE(H60:H71)</f>
        <v>#DIV/0!</v>
      </c>
    </row>
    <row r="73" spans="1:8" ht="26.25" customHeight="1" x14ac:dyDescent="0.4">
      <c r="C73" s="224"/>
      <c r="D73" s="224"/>
      <c r="E73" s="224"/>
      <c r="F73" s="200" t="s">
        <v>83</v>
      </c>
      <c r="G73" s="272" t="e">
        <f>STDEV(G60:G71)/G72</f>
        <v>#DIV/0!</v>
      </c>
      <c r="H73" s="272" t="e">
        <f>STDEV(H60:H71)/H72</f>
        <v>#DIV/0!</v>
      </c>
    </row>
    <row r="74" spans="1:8" ht="27" customHeight="1" thickBot="1" x14ac:dyDescent="0.45">
      <c r="A74" s="224"/>
      <c r="B74" s="224"/>
      <c r="C74" s="224"/>
      <c r="D74" s="224"/>
      <c r="E74" s="201"/>
      <c r="F74" s="202" t="s">
        <v>20</v>
      </c>
      <c r="G74" s="203">
        <f>COUNT(G60:G71)</f>
        <v>0</v>
      </c>
      <c r="H74" s="203">
        <f>COUNT(H60:H71)</f>
        <v>0</v>
      </c>
    </row>
    <row r="76" spans="1:8" ht="26.25" customHeight="1" x14ac:dyDescent="0.4">
      <c r="A76" s="259" t="s">
        <v>105</v>
      </c>
      <c r="B76" s="216" t="s">
        <v>106</v>
      </c>
      <c r="C76" s="306" t="str">
        <f>B20</f>
        <v xml:space="preserve">Cefuroxime Axetil </v>
      </c>
      <c r="D76" s="306"/>
      <c r="E76" s="205" t="s">
        <v>107</v>
      </c>
      <c r="F76" s="205"/>
      <c r="G76" s="206" t="e">
        <f>H72</f>
        <v>#DIV/0!</v>
      </c>
      <c r="H76" s="279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259" t="s">
        <v>4</v>
      </c>
      <c r="B79" s="329" t="str">
        <f>B26</f>
        <v xml:space="preserve">CEFUROXIME AXETIL </v>
      </c>
      <c r="C79" s="329"/>
    </row>
    <row r="80" spans="1:8" ht="26.25" customHeight="1" x14ac:dyDescent="0.4">
      <c r="A80" s="216" t="s">
        <v>47</v>
      </c>
      <c r="B80" s="329" t="str">
        <f>B27</f>
        <v>C66-1</v>
      </c>
      <c r="C80" s="329"/>
    </row>
    <row r="81" spans="1:12" ht="27" customHeight="1" thickBot="1" x14ac:dyDescent="0.45">
      <c r="A81" s="216" t="s">
        <v>6</v>
      </c>
      <c r="B81" s="208">
        <f>B28</f>
        <v>96.5</v>
      </c>
    </row>
    <row r="82" spans="1:12" s="16" customFormat="1" ht="27" customHeight="1" thickBot="1" x14ac:dyDescent="0.45">
      <c r="A82" s="216" t="s">
        <v>48</v>
      </c>
      <c r="B82" s="111">
        <v>0</v>
      </c>
      <c r="C82" s="308" t="s">
        <v>49</v>
      </c>
      <c r="D82" s="309"/>
      <c r="E82" s="309"/>
      <c r="F82" s="309"/>
      <c r="G82" s="310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50</v>
      </c>
      <c r="B83" s="279">
        <f>B81-B82</f>
        <v>96.5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51</v>
      </c>
      <c r="B84" s="116">
        <v>424.39</v>
      </c>
      <c r="C84" s="311" t="s">
        <v>110</v>
      </c>
      <c r="D84" s="312"/>
      <c r="E84" s="312"/>
      <c r="F84" s="312"/>
      <c r="G84" s="312"/>
      <c r="H84" s="313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53</v>
      </c>
      <c r="B85" s="116">
        <v>510.47</v>
      </c>
      <c r="C85" s="311" t="s">
        <v>111</v>
      </c>
      <c r="D85" s="312"/>
      <c r="E85" s="312"/>
      <c r="F85" s="312"/>
      <c r="G85" s="312"/>
      <c r="H85" s="313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55</v>
      </c>
      <c r="B87" s="121">
        <f>B84/B85</f>
        <v>0.8313710893882108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57</v>
      </c>
      <c r="B89" s="123">
        <v>25</v>
      </c>
      <c r="D89" s="281" t="s">
        <v>58</v>
      </c>
      <c r="E89" s="284"/>
      <c r="F89" s="314" t="s">
        <v>59</v>
      </c>
      <c r="G89" s="315"/>
    </row>
    <row r="90" spans="1:12" ht="27" customHeight="1" thickBot="1" x14ac:dyDescent="0.45">
      <c r="A90" s="124" t="s">
        <v>60</v>
      </c>
      <c r="B90" s="125">
        <v>10</v>
      </c>
      <c r="C90" s="280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13">
        <v>1</v>
      </c>
      <c r="D91" s="132">
        <v>0.81399999999999995</v>
      </c>
      <c r="E91" s="133">
        <f>IF(ISBLANK(D91),"-",$D$101/$D$98*D91)</f>
        <v>0.98786568793684992</v>
      </c>
      <c r="F91" s="132">
        <v>0.75</v>
      </c>
      <c r="G91" s="134">
        <f>IF(ISBLANK(F91),"-",$D$101/$F$98*F91)</f>
        <v>0.98251540426330131</v>
      </c>
      <c r="I91" s="135"/>
    </row>
    <row r="92" spans="1:12" ht="26.25" customHeight="1" x14ac:dyDescent="0.4">
      <c r="A92" s="124" t="s">
        <v>66</v>
      </c>
      <c r="B92" s="125">
        <v>5</v>
      </c>
      <c r="C92" s="224">
        <v>2</v>
      </c>
      <c r="D92" s="137">
        <v>0.80900000000000005</v>
      </c>
      <c r="E92" s="138">
        <f>IF(ISBLANK(D92),"-",$D$101/$D$98*D92)</f>
        <v>0.98179771688072692</v>
      </c>
      <c r="F92" s="137">
        <v>0.753</v>
      </c>
      <c r="G92" s="139">
        <f>IF(ISBLANK(F92),"-",$D$101/$F$98*F92)</f>
        <v>0.98644546588035453</v>
      </c>
      <c r="I92" s="316">
        <f>ABS((F96/D96*D95)-F95)/D95</f>
        <v>1.1787462190546193E-3</v>
      </c>
    </row>
    <row r="93" spans="1:12" ht="26.25" customHeight="1" x14ac:dyDescent="0.4">
      <c r="A93" s="124" t="s">
        <v>67</v>
      </c>
      <c r="B93" s="125">
        <v>50</v>
      </c>
      <c r="C93" s="224">
        <v>3</v>
      </c>
      <c r="D93" s="137">
        <v>0.80700000000000005</v>
      </c>
      <c r="E93" s="138">
        <f>IF(ISBLANK(D93),"-",$D$101/$D$98*D93)</f>
        <v>0.97937052845827766</v>
      </c>
      <c r="F93" s="137">
        <v>0.751</v>
      </c>
      <c r="G93" s="139">
        <f>IF(ISBLANK(F93),"-",$D$101/$F$98*F93)</f>
        <v>0.98382542480231905</v>
      </c>
      <c r="I93" s="316"/>
    </row>
    <row r="94" spans="1:12" ht="27" customHeight="1" thickBot="1" x14ac:dyDescent="0.45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69</v>
      </c>
      <c r="B95" s="125">
        <v>1</v>
      </c>
      <c r="C95" s="216" t="s">
        <v>70</v>
      </c>
      <c r="D95" s="217">
        <f>AVERAGE(D91:D94)</f>
        <v>0.81</v>
      </c>
      <c r="E95" s="148">
        <f>AVERAGE(E91:E94)</f>
        <v>0.98301131109195161</v>
      </c>
      <c r="F95" s="218">
        <f>AVERAGE(F91:F94)</f>
        <v>0.7513333333333333</v>
      </c>
      <c r="G95" s="219">
        <f>AVERAGE(G91:G94)</f>
        <v>0.98426209831532496</v>
      </c>
    </row>
    <row r="96" spans="1:12" ht="26.25" customHeight="1" x14ac:dyDescent="0.4">
      <c r="A96" s="124" t="s">
        <v>71</v>
      </c>
      <c r="B96" s="208">
        <v>1</v>
      </c>
      <c r="C96" s="220" t="s">
        <v>112</v>
      </c>
      <c r="D96" s="221">
        <v>28.53</v>
      </c>
      <c r="E96" s="205"/>
      <c r="F96" s="152">
        <v>26.43</v>
      </c>
    </row>
    <row r="97" spans="1:10" ht="26.25" customHeight="1" x14ac:dyDescent="0.4">
      <c r="A97" s="124" t="s">
        <v>73</v>
      </c>
      <c r="B97" s="208">
        <v>1</v>
      </c>
      <c r="C97" s="222" t="s">
        <v>113</v>
      </c>
      <c r="D97" s="223">
        <f>D96*$B$87</f>
        <v>23.719017180245654</v>
      </c>
      <c r="E97" s="224"/>
      <c r="F97" s="154">
        <f>F96*$B$87</f>
        <v>21.97313789253041</v>
      </c>
    </row>
    <row r="98" spans="1:10" ht="19.5" customHeight="1" thickBot="1" x14ac:dyDescent="0.35">
      <c r="A98" s="124" t="s">
        <v>75</v>
      </c>
      <c r="B98" s="224">
        <f>(B97/B96)*(B95/B94)*(B93/B92)*(B91/B90)*B89</f>
        <v>1250</v>
      </c>
      <c r="C98" s="222" t="s">
        <v>114</v>
      </c>
      <c r="D98" s="225">
        <f>D97*$B$83/100</f>
        <v>22.888851578937057</v>
      </c>
      <c r="E98" s="201"/>
      <c r="F98" s="157">
        <f>F97*$B$83/100</f>
        <v>21.204078066291846</v>
      </c>
    </row>
    <row r="99" spans="1:10" ht="19.5" customHeight="1" thickBot="1" x14ac:dyDescent="0.35">
      <c r="A99" s="302" t="s">
        <v>77</v>
      </c>
      <c r="B99" s="317"/>
      <c r="C99" s="222" t="s">
        <v>115</v>
      </c>
      <c r="D99" s="226">
        <f>D98/$B$98</f>
        <v>1.8311081263149644E-2</v>
      </c>
      <c r="E99" s="201"/>
      <c r="F99" s="161">
        <f>F98/$B$98</f>
        <v>1.6963262453033475E-2</v>
      </c>
      <c r="H99" s="150"/>
    </row>
    <row r="100" spans="1:10" ht="19.5" customHeight="1" thickBot="1" x14ac:dyDescent="0.35">
      <c r="A100" s="304"/>
      <c r="B100" s="318"/>
      <c r="C100" s="222" t="s">
        <v>79</v>
      </c>
      <c r="D100" s="228">
        <f>$B$56/$B$116</f>
        <v>2.2222222222222223E-2</v>
      </c>
      <c r="F100" s="166"/>
      <c r="G100" s="235"/>
      <c r="H100" s="150"/>
    </row>
    <row r="101" spans="1:10" ht="18.75" x14ac:dyDescent="0.3">
      <c r="C101" s="222" t="s">
        <v>80</v>
      </c>
      <c r="D101" s="223">
        <f>D100*$B$98</f>
        <v>27.777777777777779</v>
      </c>
      <c r="F101" s="166"/>
      <c r="H101" s="150"/>
    </row>
    <row r="102" spans="1:10" ht="19.5" customHeight="1" thickBot="1" x14ac:dyDescent="0.35">
      <c r="C102" s="230" t="s">
        <v>81</v>
      </c>
      <c r="D102" s="231">
        <f>D101/B34</f>
        <v>33.412008346620382</v>
      </c>
      <c r="F102" s="170"/>
      <c r="H102" s="150"/>
      <c r="J102" s="232"/>
    </row>
    <row r="103" spans="1:10" ht="18.75" x14ac:dyDescent="0.3">
      <c r="C103" s="233" t="s">
        <v>116</v>
      </c>
      <c r="D103" s="234">
        <f>AVERAGE(E91:E94,G91:G94)</f>
        <v>0.98363670470363829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3.1711370996084691E-3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81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4</v>
      </c>
      <c r="C108" s="243">
        <v>1</v>
      </c>
      <c r="D108" s="339">
        <v>0.82099999999999995</v>
      </c>
      <c r="E108" s="273">
        <f t="shared" ref="E108:E113" si="1">IF(ISBLANK(D108),"-",D108/$D$103*$D$100*$B$116)</f>
        <v>208.66443781379647</v>
      </c>
      <c r="F108" s="244">
        <f t="shared" ref="F108:F113" si="2">IF(ISBLANK(D108), "-", E108/$B$56)</f>
        <v>0.83465775125518582</v>
      </c>
    </row>
    <row r="109" spans="1:10" ht="26.25" customHeight="1" x14ac:dyDescent="0.4">
      <c r="A109" s="124" t="s">
        <v>94</v>
      </c>
      <c r="B109" s="125">
        <v>50</v>
      </c>
      <c r="C109" s="243">
        <v>2</v>
      </c>
      <c r="D109" s="339">
        <v>0.81899999999999995</v>
      </c>
      <c r="E109" s="274">
        <f t="shared" si="1"/>
        <v>208.15612006029147</v>
      </c>
      <c r="F109" s="245">
        <f t="shared" si="2"/>
        <v>0.83262448024116587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339">
        <v>0.81399999999999995</v>
      </c>
      <c r="E110" s="274">
        <f t="shared" si="1"/>
        <v>206.88532567652899</v>
      </c>
      <c r="F110" s="245">
        <f t="shared" si="2"/>
        <v>0.82754130270611592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339">
        <v>0.80700000000000005</v>
      </c>
      <c r="E111" s="274">
        <f t="shared" si="1"/>
        <v>205.10621353926155</v>
      </c>
      <c r="F111" s="245">
        <f t="shared" si="2"/>
        <v>0.82042485415704614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339">
        <v>0.81399999999999995</v>
      </c>
      <c r="E112" s="274">
        <f t="shared" si="1"/>
        <v>206.88532567652899</v>
      </c>
      <c r="F112" s="245">
        <f t="shared" si="2"/>
        <v>0.82754130270611592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340">
        <v>0.80500000000000005</v>
      </c>
      <c r="E113" s="275">
        <f t="shared" si="1"/>
        <v>204.59789578575661</v>
      </c>
      <c r="F113" s="247">
        <f t="shared" si="2"/>
        <v>0.8183915831430264</v>
      </c>
    </row>
    <row r="114" spans="1:10" ht="26.25" customHeight="1" x14ac:dyDescent="0.4">
      <c r="A114" s="124" t="s">
        <v>100</v>
      </c>
      <c r="B114" s="125">
        <v>1</v>
      </c>
      <c r="C114" s="243"/>
      <c r="D114" s="224"/>
      <c r="E114" s="205"/>
      <c r="F114" s="248"/>
    </row>
    <row r="115" spans="1:10" ht="26.25" customHeight="1" x14ac:dyDescent="0.4">
      <c r="A115" s="124" t="s">
        <v>101</v>
      </c>
      <c r="B115" s="125">
        <v>1</v>
      </c>
      <c r="C115" s="243"/>
      <c r="D115" s="249" t="s">
        <v>70</v>
      </c>
      <c r="E115" s="277">
        <f>AVERAGE(E108:E113)</f>
        <v>206.71588642536071</v>
      </c>
      <c r="F115" s="250">
        <f>AVERAGE(F108:F113)</f>
        <v>0.8268635457014426</v>
      </c>
    </row>
    <row r="116" spans="1:10" ht="27" customHeight="1" thickBot="1" x14ac:dyDescent="0.45">
      <c r="A116" s="124" t="s">
        <v>102</v>
      </c>
      <c r="B116" s="156">
        <f>(B115/B114)*(B113/B112)*(B111/B110)*(B109/B108)*B107</f>
        <v>11250</v>
      </c>
      <c r="C116" s="251"/>
      <c r="D116" s="216" t="s">
        <v>83</v>
      </c>
      <c r="E116" s="252">
        <f>STDEV(E108:E113)/E115</f>
        <v>7.8019698585513227E-3</v>
      </c>
      <c r="F116" s="252">
        <f>STDEV(F108:F113)/F115</f>
        <v>7.8019698585513209E-3</v>
      </c>
      <c r="I116" s="205"/>
    </row>
    <row r="117" spans="1:10" ht="27" customHeight="1" thickBot="1" x14ac:dyDescent="0.45">
      <c r="A117" s="302" t="s">
        <v>77</v>
      </c>
      <c r="B117" s="303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205"/>
      <c r="J117" s="236"/>
    </row>
    <row r="118" spans="1:10" ht="19.5" customHeight="1" thickBot="1" x14ac:dyDescent="0.35">
      <c r="A118" s="304"/>
      <c r="B118" s="305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4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59" t="s">
        <v>105</v>
      </c>
      <c r="B120" s="216" t="s">
        <v>122</v>
      </c>
      <c r="C120" s="306" t="str">
        <f>B20</f>
        <v xml:space="preserve">Cefuroxime Axetil </v>
      </c>
      <c r="D120" s="306"/>
      <c r="E120" s="205" t="s">
        <v>123</v>
      </c>
      <c r="F120" s="205"/>
      <c r="G120" s="206">
        <f>F115</f>
        <v>0.8268635457014426</v>
      </c>
      <c r="H120" s="205"/>
      <c r="I120" s="205"/>
    </row>
    <row r="121" spans="1:10" ht="19.5" customHeight="1" thickBot="1" x14ac:dyDescent="0.35">
      <c r="A121" s="282"/>
      <c r="B121" s="282"/>
      <c r="C121" s="257"/>
      <c r="D121" s="257"/>
      <c r="E121" s="257"/>
      <c r="F121" s="257"/>
      <c r="G121" s="257"/>
      <c r="H121" s="257"/>
    </row>
    <row r="122" spans="1:10" ht="18.75" x14ac:dyDescent="0.3">
      <c r="B122" s="307" t="s">
        <v>25</v>
      </c>
      <c r="C122" s="307"/>
      <c r="E122" s="280" t="s">
        <v>26</v>
      </c>
      <c r="F122" s="258"/>
      <c r="G122" s="307" t="s">
        <v>27</v>
      </c>
      <c r="H122" s="307"/>
    </row>
    <row r="123" spans="1:10" ht="69.95" customHeight="1" x14ac:dyDescent="0.3">
      <c r="A123" s="259" t="s">
        <v>28</v>
      </c>
      <c r="B123" s="261"/>
      <c r="C123" s="261"/>
      <c r="E123" s="261"/>
      <c r="F123" s="205"/>
      <c r="G123" s="261"/>
      <c r="H123" s="261"/>
    </row>
    <row r="124" spans="1:10" ht="69.95" customHeight="1" x14ac:dyDescent="0.3">
      <c r="A124" s="259" t="s">
        <v>29</v>
      </c>
      <c r="B124" s="262"/>
      <c r="C124" s="262"/>
      <c r="E124" s="262"/>
      <c r="F124" s="205"/>
      <c r="G124" s="263"/>
      <c r="H124" s="263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Cefuroxime tablets</vt:lpstr>
      <vt:lpstr>Sheet1</vt:lpstr>
      <vt:lpstr>Cefuroxime tablets (2)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2016-08-17T10:53:45Z</cp:lastPrinted>
  <dcterms:created xsi:type="dcterms:W3CDTF">2005-07-05T10:19:27Z</dcterms:created>
  <dcterms:modified xsi:type="dcterms:W3CDTF">2016-08-17T10:56:48Z</dcterms:modified>
</cp:coreProperties>
</file>