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December\"/>
    </mc:Choice>
  </mc:AlternateContent>
  <bookViews>
    <workbookView xWindow="0" yWindow="0" windowWidth="20490" windowHeight="9045" activeTab="5"/>
  </bookViews>
  <sheets>
    <sheet name="SST T (2)" sheetId="6" r:id="rId1"/>
    <sheet name="SST L (2)" sheetId="7" r:id="rId2"/>
    <sheet name="SST E" sheetId="8" r:id="rId3"/>
    <sheet name="Uniformity" sheetId="2" r:id="rId4"/>
    <sheet name="Lamivudine" sheetId="3" r:id="rId5"/>
    <sheet name="TDF" sheetId="4" r:id="rId6"/>
    <sheet name="Efavirenz" sheetId="5" r:id="rId7"/>
  </sheets>
  <externalReferences>
    <externalReference r:id="rId8"/>
  </externalReferences>
  <definedNames>
    <definedName name="_xlnm.Print_Area" localSheetId="6">Efavirenz!$A$1:$I$130</definedName>
    <definedName name="_xlnm.Print_Area" localSheetId="4">Lamivudine!$A$1:$I$130</definedName>
    <definedName name="_xlnm.Print_Area" localSheetId="5">TDF!$A$1:$I$130</definedName>
    <definedName name="_xlnm.Print_Area" localSheetId="3">Uniformity!$A$1:$F$54</definedName>
  </definedNames>
  <calcPr calcId="152511"/>
</workbook>
</file>

<file path=xl/calcChain.xml><?xml version="1.0" encoding="utf-8"?>
<calcChain xmlns="http://schemas.openxmlformats.org/spreadsheetml/2006/main">
  <c r="D68" i="5" l="1"/>
  <c r="D64" i="5"/>
  <c r="D60" i="5"/>
  <c r="D68" i="4" l="1"/>
  <c r="D64" i="4"/>
  <c r="D60" i="4"/>
  <c r="B53" i="8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40" i="7"/>
  <c r="B39" i="7"/>
  <c r="B32" i="7"/>
  <c r="E30" i="7"/>
  <c r="D30" i="7"/>
  <c r="C30" i="7"/>
  <c r="B30" i="7"/>
  <c r="B31" i="7" s="1"/>
  <c r="B20" i="7"/>
  <c r="B21" i="7" s="1"/>
  <c r="B53" i="6"/>
  <c r="B52" i="6"/>
  <c r="E51" i="6"/>
  <c r="D51" i="6"/>
  <c r="C51" i="6"/>
  <c r="B51" i="6"/>
  <c r="B42" i="6"/>
  <c r="B40" i="6"/>
  <c r="B39" i="6"/>
  <c r="B32" i="6"/>
  <c r="E30" i="6"/>
  <c r="D30" i="6"/>
  <c r="C30" i="6"/>
  <c r="B30" i="6"/>
  <c r="B31" i="6" s="1"/>
  <c r="B21" i="6"/>
  <c r="C124" i="5" l="1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B57" i="5"/>
  <c r="B69" i="5" s="1"/>
  <c r="C56" i="5"/>
  <c r="B55" i="5"/>
  <c r="B45" i="5"/>
  <c r="D48" i="5" s="1"/>
  <c r="F42" i="5"/>
  <c r="D42" i="5"/>
  <c r="B34" i="5"/>
  <c r="B30" i="5"/>
  <c r="C124" i="4"/>
  <c r="B116" i="4"/>
  <c r="D100" i="4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B30" i="3"/>
  <c r="D49" i="2"/>
  <c r="C46" i="2"/>
  <c r="C49" i="2" s="1"/>
  <c r="C45" i="2"/>
  <c r="D41" i="2"/>
  <c r="D40" i="2"/>
  <c r="D37" i="2"/>
  <c r="D36" i="2"/>
  <c r="D33" i="2"/>
  <c r="D32" i="2"/>
  <c r="D30" i="2"/>
  <c r="D29" i="2"/>
  <c r="D28" i="2"/>
  <c r="D26" i="2"/>
  <c r="D25" i="2"/>
  <c r="D24" i="2"/>
  <c r="C19" i="2"/>
  <c r="D101" i="5" l="1"/>
  <c r="G92" i="5" s="1"/>
  <c r="D97" i="5"/>
  <c r="D98" i="5" s="1"/>
  <c r="D99" i="5" s="1"/>
  <c r="I39" i="5"/>
  <c r="D101" i="4"/>
  <c r="D102" i="4" s="1"/>
  <c r="F97" i="4"/>
  <c r="F98" i="4" s="1"/>
  <c r="F99" i="4" s="1"/>
  <c r="I39" i="4"/>
  <c r="F45" i="4"/>
  <c r="D49" i="4"/>
  <c r="D44" i="4"/>
  <c r="D45" i="4" s="1"/>
  <c r="E40" i="4" s="1"/>
  <c r="I92" i="3"/>
  <c r="D101" i="3"/>
  <c r="F98" i="3"/>
  <c r="F99" i="3" s="1"/>
  <c r="I39" i="3"/>
  <c r="F46" i="4"/>
  <c r="G38" i="4"/>
  <c r="F44" i="5"/>
  <c r="F45" i="5" s="1"/>
  <c r="F46" i="5" s="1"/>
  <c r="D44" i="5"/>
  <c r="D45" i="5" s="1"/>
  <c r="D46" i="5" s="1"/>
  <c r="F98" i="5"/>
  <c r="F99" i="5" s="1"/>
  <c r="F44" i="3"/>
  <c r="F45" i="3" s="1"/>
  <c r="F46" i="3" s="1"/>
  <c r="D44" i="3"/>
  <c r="D45" i="3" s="1"/>
  <c r="D46" i="3" s="1"/>
  <c r="D49" i="3"/>
  <c r="D98" i="4"/>
  <c r="D99" i="4" s="1"/>
  <c r="D49" i="5"/>
  <c r="E41" i="3"/>
  <c r="G41" i="4"/>
  <c r="G39" i="4"/>
  <c r="G40" i="4"/>
  <c r="C50" i="2"/>
  <c r="D97" i="3"/>
  <c r="D98" i="3" s="1"/>
  <c r="D99" i="3" s="1"/>
  <c r="D34" i="2"/>
  <c r="D38" i="2"/>
  <c r="D42" i="2"/>
  <c r="B49" i="2"/>
  <c r="D50" i="2"/>
  <c r="B57" i="4"/>
  <c r="B69" i="4" s="1"/>
  <c r="D27" i="2"/>
  <c r="D31" i="2"/>
  <c r="D35" i="2"/>
  <c r="D39" i="2"/>
  <c r="D43" i="2"/>
  <c r="G94" i="5" l="1"/>
  <c r="G91" i="5"/>
  <c r="D102" i="5"/>
  <c r="E93" i="5"/>
  <c r="E94" i="5"/>
  <c r="E92" i="5"/>
  <c r="E91" i="5"/>
  <c r="G93" i="5"/>
  <c r="G38" i="5"/>
  <c r="G39" i="5"/>
  <c r="G40" i="5"/>
  <c r="E93" i="4"/>
  <c r="E94" i="4"/>
  <c r="E91" i="4"/>
  <c r="G92" i="4"/>
  <c r="G91" i="4"/>
  <c r="E92" i="4"/>
  <c r="G93" i="4"/>
  <c r="G94" i="4"/>
  <c r="G42" i="4"/>
  <c r="E39" i="4"/>
  <c r="E38" i="4"/>
  <c r="E41" i="4"/>
  <c r="D46" i="4"/>
  <c r="G93" i="3"/>
  <c r="G91" i="3"/>
  <c r="D102" i="3"/>
  <c r="G92" i="3"/>
  <c r="E91" i="3"/>
  <c r="G94" i="3"/>
  <c r="E40" i="3"/>
  <c r="E92" i="3"/>
  <c r="E94" i="3"/>
  <c r="E38" i="3"/>
  <c r="G39" i="3"/>
  <c r="G40" i="3"/>
  <c r="G38" i="3"/>
  <c r="E38" i="5"/>
  <c r="G41" i="5"/>
  <c r="E39" i="5"/>
  <c r="E93" i="3"/>
  <c r="G41" i="3"/>
  <c r="E39" i="3"/>
  <c r="E40" i="5"/>
  <c r="E41" i="5"/>
  <c r="E95" i="5" l="1"/>
  <c r="D103" i="5"/>
  <c r="E110" i="5" s="1"/>
  <c r="F110" i="5" s="1"/>
  <c r="G95" i="5"/>
  <c r="D105" i="5"/>
  <c r="G42" i="5"/>
  <c r="G95" i="4"/>
  <c r="D103" i="4"/>
  <c r="E113" i="4" s="1"/>
  <c r="F113" i="4" s="1"/>
  <c r="D105" i="4"/>
  <c r="E95" i="4"/>
  <c r="E42" i="4"/>
  <c r="D50" i="4"/>
  <c r="G69" i="4" s="1"/>
  <c r="H69" i="4" s="1"/>
  <c r="D52" i="4"/>
  <c r="G95" i="3"/>
  <c r="E95" i="3"/>
  <c r="D103" i="3"/>
  <c r="E112" i="3" s="1"/>
  <c r="F112" i="3" s="1"/>
  <c r="D105" i="3"/>
  <c r="D50" i="3"/>
  <c r="G42" i="3"/>
  <c r="E42" i="3"/>
  <c r="D52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D50" i="5"/>
  <c r="E42" i="5"/>
  <c r="D52" i="5"/>
  <c r="E108" i="4"/>
  <c r="D104" i="5" l="1"/>
  <c r="E111" i="5"/>
  <c r="F111" i="5" s="1"/>
  <c r="E109" i="5"/>
  <c r="F109" i="5" s="1"/>
  <c r="E108" i="5"/>
  <c r="F108" i="5" s="1"/>
  <c r="E113" i="5"/>
  <c r="F113" i="5" s="1"/>
  <c r="E112" i="5"/>
  <c r="F112" i="5" s="1"/>
  <c r="E112" i="4"/>
  <c r="F112" i="4" s="1"/>
  <c r="D104" i="4"/>
  <c r="E109" i="4"/>
  <c r="F109" i="4" s="1"/>
  <c r="E111" i="4"/>
  <c r="F111" i="4" s="1"/>
  <c r="E110" i="4"/>
  <c r="F110" i="4" s="1"/>
  <c r="G63" i="4"/>
  <c r="H63" i="4" s="1"/>
  <c r="G65" i="4"/>
  <c r="H65" i="4" s="1"/>
  <c r="G60" i="4"/>
  <c r="G71" i="4"/>
  <c r="H71" i="4" s="1"/>
  <c r="G61" i="4"/>
  <c r="H61" i="4" s="1"/>
  <c r="G64" i="4"/>
  <c r="H64" i="4" s="1"/>
  <c r="G68" i="4"/>
  <c r="H68" i="4" s="1"/>
  <c r="G67" i="4"/>
  <c r="H67" i="4" s="1"/>
  <c r="G62" i="4"/>
  <c r="H62" i="4" s="1"/>
  <c r="G70" i="4"/>
  <c r="H70" i="4" s="1"/>
  <c r="D51" i="4"/>
  <c r="G66" i="4"/>
  <c r="H66" i="4" s="1"/>
  <c r="E109" i="3"/>
  <c r="F109" i="3" s="1"/>
  <c r="E108" i="3"/>
  <c r="F108" i="3" s="1"/>
  <c r="E113" i="3"/>
  <c r="F113" i="3" s="1"/>
  <c r="E110" i="3"/>
  <c r="F110" i="3" s="1"/>
  <c r="D104" i="3"/>
  <c r="E111" i="3"/>
  <c r="F111" i="3" s="1"/>
  <c r="F108" i="4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4" i="3"/>
  <c r="G72" i="3"/>
  <c r="G73" i="3" s="1"/>
  <c r="H60" i="3"/>
  <c r="F115" i="5" l="1"/>
  <c r="F116" i="5" s="1"/>
  <c r="D125" i="5"/>
  <c r="F117" i="5"/>
  <c r="F120" i="5"/>
  <c r="E115" i="5"/>
  <c r="E116" i="5" s="1"/>
  <c r="F125" i="5"/>
  <c r="E117" i="5"/>
  <c r="E120" i="5"/>
  <c r="F119" i="5"/>
  <c r="E119" i="5"/>
  <c r="E115" i="4"/>
  <c r="E116" i="4" s="1"/>
  <c r="E119" i="4"/>
  <c r="E117" i="4"/>
  <c r="E120" i="4"/>
  <c r="G72" i="4"/>
  <c r="G73" i="4" s="1"/>
  <c r="H60" i="4"/>
  <c r="H74" i="4" s="1"/>
  <c r="G74" i="4"/>
  <c r="E119" i="3"/>
  <c r="E117" i="3"/>
  <c r="E120" i="3"/>
  <c r="E115" i="3"/>
  <c r="E116" i="3" s="1"/>
  <c r="H74" i="3"/>
  <c r="H72" i="3"/>
  <c r="D125" i="3"/>
  <c r="F115" i="3"/>
  <c r="F119" i="3"/>
  <c r="F117" i="3"/>
  <c r="F125" i="3"/>
  <c r="F120" i="3"/>
  <c r="G74" i="5"/>
  <c r="G72" i="5"/>
  <c r="G73" i="5" s="1"/>
  <c r="H60" i="5"/>
  <c r="F125" i="4"/>
  <c r="F120" i="4"/>
  <c r="F117" i="4"/>
  <c r="D125" i="4"/>
  <c r="F115" i="4"/>
  <c r="F119" i="4"/>
  <c r="G124" i="5" l="1"/>
  <c r="H72" i="4"/>
  <c r="G76" i="4" s="1"/>
  <c r="H74" i="5"/>
  <c r="H72" i="5"/>
  <c r="F116" i="4"/>
  <c r="G124" i="4"/>
  <c r="G76" i="3"/>
  <c r="H73" i="3"/>
  <c r="G124" i="3"/>
  <c r="F116" i="3"/>
  <c r="H73" i="4" l="1"/>
  <c r="G76" i="5"/>
  <c r="H73" i="5"/>
</calcChain>
</file>

<file path=xl/sharedStrings.xml><?xml version="1.0" encoding="utf-8"?>
<sst xmlns="http://schemas.openxmlformats.org/spreadsheetml/2006/main" count="665" uniqueCount="145">
  <si>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</si>
  <si>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</si>
  <si>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</si>
  <si>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</si>
  <si>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</si>
  <si>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</si>
  <si>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</si>
  <si>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NDQD201607015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</si>
  <si>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</si>
  <si>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</si>
  <si>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</si>
  <si>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</si>
  <si>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2016-10-11 08:01:57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</si>
  <si>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</si>
  <si>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</si>
  <si>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</si>
  <si>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</si>
  <si>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</si>
  <si>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</si>
  <si>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</si>
  <si>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</si>
  <si>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</si>
  <si>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</si>
  <si>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</si>
  <si>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</si>
  <si>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</si>
  <si>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</si>
  <si>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</si>
  <si>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</si>
  <si>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</si>
  <si>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</si>
  <si>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</si>
  <si>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</si>
  <si>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</si>
  <si>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</si>
  <si>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</si>
  <si>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</si>
  <si>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</si>
  <si>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</si>
  <si>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</si>
  <si>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</si>
  <si>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</si>
  <si>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</si>
  <si>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</si>
  <si>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</si>
  <si>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</si>
  <si>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</si>
  <si>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</si>
  <si>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</si>
  <si>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</si>
  <si>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</si>
  <si>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</si>
  <si>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</si>
  <si>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</si>
  <si>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</si>
  <si>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</si>
  <si>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</si>
  <si>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</si>
  <si>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</si>
  <si>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</si>
  <si>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</si>
  <si>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</si>
  <si>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</si>
  <si>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</si>
  <si>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</si>
  <si>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</si>
  <si>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</si>
  <si>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</si>
  <si>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</si>
  <si>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</si>
  <si>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</si>
  <si>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</si>
  <si>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</si>
  <si>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</si>
  <si>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</si>
  <si>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</si>
  <si>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</si>
  <si>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</si>
  <si>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</si>
  <si>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</si>
  <si>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</si>
  <si>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</si>
  <si>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</si>
  <si>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</si>
  <si>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</si>
  <si>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</si>
  <si>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</si>
  <si>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</si>
  <si>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</si>
  <si>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</si>
  <si>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</si>
  <si>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</si>
  <si>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</si>
  <si>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</si>
  <si>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</si>
  <si>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</si>
  <si>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</si>
  <si>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</si>
  <si>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</si>
  <si>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</si>
  <si>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</si>
  <si>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</si>
  <si>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</si>
  <si>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</si>
  <si>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</si>
  <si>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</si>
  <si>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</si>
  <si>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</si>
  <si>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</si>
  <si>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</si>
  <si>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</si>
  <si>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</si>
  <si>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</si>
  <si>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</si>
  <si>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</si>
  <si>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</si>
  <si>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</si>
  <si>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</si>
  <si>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</si>
  <si>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</si>
  <si>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</si>
  <si>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</si>
  <si>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</si>
  <si>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</si>
  <si>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</si>
  <si>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</si>
  <si>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</si>
  <si>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</si>
  <si>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</si>
  <si>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</si>
  <si>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</si>
  <si>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TABLETS 300 MG </t>
  </si>
  <si>
    <t>Tenofovir Disoproxil Fumarate</t>
  </si>
  <si>
    <t>Bugigi</t>
  </si>
  <si>
    <t>LAMIVUDINE 300 MG AND TENOFOVIR DISOPROXIL FUMARATE 300 MG TABLETS</t>
  </si>
  <si>
    <t>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</si>
  <si>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</si>
  <si>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</si>
  <si>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</si>
  <si>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TENOFOVIR DISOPROXIL FUMARATE/  LAMIVUDINE/ EFAVIRENZ  TABLETS 300 MG/300 MG /600 MG</t>
  </si>
  <si>
    <t>Efavirenz</t>
  </si>
  <si>
    <t>10M388</t>
  </si>
  <si>
    <t>T11 8</t>
  </si>
  <si>
    <t>Tenofovir DF</t>
  </si>
  <si>
    <t>E35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</si>
</sst>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34" fillId="2" borderId="0"/>
  </cellStyleXfs>
  <cellXfs count="7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right"/>
    </xf>
    <xf numFmtId="0" fontId="30" fillId="2" borderId="0" xfId="1" applyFont="1" applyFill="1"/>
    <xf numFmtId="0" fontId="30" fillId="2" borderId="0" xfId="1" applyFont="1" applyFill="1" applyAlignment="1">
      <alignment horizontal="left"/>
    </xf>
    <xf numFmtId="0" fontId="26" fillId="2" borderId="0" xfId="1" applyFont="1" applyFill="1" applyAlignment="1">
      <alignment horizontal="left"/>
    </xf>
    <xf numFmtId="0" fontId="31" fillId="2" borderId="0" xfId="1" applyFont="1" applyFill="1"/>
    <xf numFmtId="0" fontId="26" fillId="2" borderId="0" xfId="1" applyFont="1" applyFill="1"/>
    <xf numFmtId="0" fontId="32" fillId="2" borderId="0" xfId="1" applyFont="1" applyFill="1"/>
    <xf numFmtId="2" fontId="26" fillId="2" borderId="0" xfId="1" applyNumberFormat="1" applyFont="1" applyFill="1" applyAlignment="1">
      <alignment horizontal="center"/>
    </xf>
    <xf numFmtId="164" fontId="26" fillId="2" borderId="0" xfId="1" applyNumberFormat="1" applyFont="1" applyFill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6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3" fillId="3" borderId="3" xfId="1" applyFont="1" applyFill="1" applyBorder="1" applyAlignment="1" applyProtection="1">
      <alignment horizontal="center"/>
      <protection locked="0"/>
    </xf>
    <xf numFmtId="2" fontId="33" fillId="3" borderId="3" xfId="1" applyNumberFormat="1" applyFont="1" applyFill="1" applyBorder="1" applyAlignment="1" applyProtection="1">
      <alignment horizontal="center"/>
      <protection locked="0"/>
    </xf>
    <xf numFmtId="2" fontId="33" fillId="3" borderId="4" xfId="1" applyNumberFormat="1" applyFont="1" applyFill="1" applyBorder="1" applyAlignment="1" applyProtection="1">
      <alignment horizontal="center"/>
      <protection locked="0"/>
    </xf>
    <xf numFmtId="0" fontId="33" fillId="3" borderId="5" xfId="1" applyFont="1" applyFill="1" applyBorder="1" applyAlignment="1" applyProtection="1">
      <alignment horizontal="center"/>
      <protection locked="0"/>
    </xf>
    <xf numFmtId="2" fontId="33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26" fillId="4" borderId="2" xfId="1" applyNumberFormat="1" applyFont="1" applyFill="1" applyBorder="1" applyAlignment="1">
      <alignment horizontal="center"/>
    </xf>
    <xf numFmtId="1" fontId="26" fillId="4" borderId="1" xfId="1" applyNumberFormat="1" applyFont="1" applyFill="1" applyBorder="1" applyAlignment="1">
      <alignment horizontal="center"/>
    </xf>
    <xf numFmtId="2" fontId="26" fillId="4" borderId="1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26" fillId="5" borderId="1" xfId="1" applyNumberFormat="1" applyFont="1" applyFill="1" applyBorder="1" applyAlignment="1">
      <alignment horizontal="center"/>
    </xf>
    <xf numFmtId="165" fontId="26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26" fillId="4" borderId="1" xfId="1" applyFont="1" applyFill="1" applyBorder="1" applyAlignment="1">
      <alignment horizontal="center"/>
    </xf>
    <xf numFmtId="0" fontId="26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8" fillId="2" borderId="9" xfId="1" applyFont="1" applyFill="1" applyBorder="1"/>
    <xf numFmtId="0" fontId="28" fillId="2" borderId="0" xfId="1" applyFont="1" applyFill="1" applyAlignment="1">
      <alignment horizontal="center"/>
    </xf>
    <xf numFmtId="10" fontId="28" fillId="2" borderId="9" xfId="1" applyNumberFormat="1" applyFont="1" applyFill="1" applyBorder="1"/>
    <xf numFmtId="0" fontId="27" fillId="2" borderId="1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27" fillId="2" borderId="0" xfId="1" applyFont="1" applyFill="1" applyAlignment="1">
      <alignment horizontal="right"/>
    </xf>
    <xf numFmtId="0" fontId="28" fillId="2" borderId="7" xfId="1" applyFont="1" applyFill="1" applyBorder="1"/>
    <xf numFmtId="0" fontId="27" fillId="2" borderId="11" xfId="1" applyFont="1" applyFill="1" applyBorder="1"/>
    <xf numFmtId="0" fontId="28" fillId="2" borderId="11" xfId="1" applyFont="1" applyFill="1" applyBorder="1"/>
    <xf numFmtId="0" fontId="35" fillId="3" borderId="29" xfId="2" applyFont="1" applyFill="1" applyBorder="1" applyAlignment="1" applyProtection="1">
      <alignment horizontal="center"/>
      <protection locked="0"/>
    </xf>
    <xf numFmtId="0" fontId="35" fillId="3" borderId="23" xfId="2" applyFont="1" applyFill="1" applyBorder="1" applyAlignment="1" applyProtection="1">
      <alignment horizontal="center"/>
      <protection locked="0"/>
    </xf>
    <xf numFmtId="0" fontId="35" fillId="3" borderId="34" xfId="2" applyFont="1" applyFill="1" applyBorder="1" applyAlignment="1" applyProtection="1">
      <alignment horizontal="center"/>
      <protection locked="0"/>
    </xf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9" fillId="2" borderId="0" xfId="1" applyFont="1" applyFill="1" applyAlignment="1">
      <alignment horizontal="center"/>
    </xf>
    <xf numFmtId="0" fontId="27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2"/>
    <cellStyle name="Normal 3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mikol/work/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  <row r="43">
          <cell r="D43">
            <v>17.850000000000001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60" sqref="B60"/>
    </sheetView>
  </sheetViews>
  <sheetFormatPr defaultRowHeight="13.5" x14ac:dyDescent="0.25"/>
  <cols>
    <col min="1" max="1" width="27.5703125" style="606" customWidth="1"/>
    <col min="2" max="2" width="20.42578125" style="606" customWidth="1"/>
    <col min="3" max="3" width="31.85546875" style="606" customWidth="1"/>
    <col min="4" max="4" width="25.85546875" style="606" customWidth="1"/>
    <col min="5" max="5" width="25.7109375" style="606" customWidth="1"/>
    <col min="6" max="6" width="23.140625" style="606" customWidth="1"/>
    <col min="7" max="7" width="28.42578125" style="606" customWidth="1"/>
    <col min="8" max="8" width="21.5703125" style="606" customWidth="1"/>
    <col min="9" max="9" width="9.140625" style="606" customWidth="1"/>
    <col min="10" max="16384" width="9.140625" style="644"/>
  </cols>
  <sheetData>
    <row r="14" spans="1:6" ht="15" customHeight="1" x14ac:dyDescent="0.3">
      <c r="A14" s="605"/>
      <c r="C14" s="607"/>
      <c r="F14" s="607"/>
    </row>
    <row r="15" spans="1:6" ht="18.75" customHeight="1" x14ac:dyDescent="0.3">
      <c r="A15" s="701" t="s">
        <v>0</v>
      </c>
      <c r="B15" s="701"/>
      <c r="C15" s="701"/>
      <c r="D15" s="701"/>
      <c r="E15" s="701"/>
    </row>
    <row r="16" spans="1:6" ht="16.5" customHeight="1" x14ac:dyDescent="0.3">
      <c r="A16" s="608" t="s">
        <v>1</v>
      </c>
      <c r="B16" s="609" t="s">
        <v>2</v>
      </c>
    </row>
    <row r="17" spans="1:5" ht="16.5" customHeight="1" x14ac:dyDescent="0.3">
      <c r="A17" s="610" t="s">
        <v>3</v>
      </c>
      <c r="B17" s="610" t="s">
        <v>131</v>
      </c>
      <c r="D17" s="611"/>
      <c r="E17" s="612"/>
    </row>
    <row r="18" spans="1:5" ht="16.5" customHeight="1" x14ac:dyDescent="0.3">
      <c r="A18" s="613" t="s">
        <v>4</v>
      </c>
      <c r="B18" s="614" t="s">
        <v>132</v>
      </c>
      <c r="C18" s="612"/>
      <c r="D18" s="612"/>
      <c r="E18" s="612"/>
    </row>
    <row r="19" spans="1:5" ht="16.5" customHeight="1" x14ac:dyDescent="0.3">
      <c r="A19" s="613" t="s">
        <v>6</v>
      </c>
      <c r="B19" s="614">
        <v>98.8</v>
      </c>
      <c r="C19" s="612"/>
      <c r="D19" s="612"/>
      <c r="E19" s="612"/>
    </row>
    <row r="20" spans="1:5" ht="16.5" customHeight="1" x14ac:dyDescent="0.3">
      <c r="A20" s="610" t="s">
        <v>8</v>
      </c>
      <c r="B20" s="615">
        <v>13.88</v>
      </c>
      <c r="C20" s="612"/>
      <c r="D20" s="612"/>
      <c r="E20" s="612"/>
    </row>
    <row r="21" spans="1:5" ht="16.5" customHeight="1" x14ac:dyDescent="0.3">
      <c r="A21" s="610" t="s">
        <v>10</v>
      </c>
      <c r="B21" s="616">
        <f>B20/50*10/25</f>
        <v>0.11104000000000001</v>
      </c>
      <c r="C21" s="612"/>
      <c r="D21" s="612"/>
      <c r="E21" s="612"/>
    </row>
    <row r="22" spans="1:5" ht="15.75" customHeight="1" x14ac:dyDescent="0.25">
      <c r="A22" s="612"/>
      <c r="B22" s="612"/>
      <c r="C22" s="612"/>
      <c r="D22" s="612"/>
      <c r="E22" s="612"/>
    </row>
    <row r="23" spans="1:5" ht="16.5" customHeight="1" x14ac:dyDescent="0.3">
      <c r="A23" s="617" t="s">
        <v>13</v>
      </c>
      <c r="B23" s="618" t="s">
        <v>14</v>
      </c>
      <c r="C23" s="617" t="s">
        <v>15</v>
      </c>
      <c r="D23" s="617" t="s">
        <v>16</v>
      </c>
      <c r="E23" s="617" t="s">
        <v>17</v>
      </c>
    </row>
    <row r="24" spans="1:5" ht="16.5" customHeight="1" x14ac:dyDescent="0.3">
      <c r="A24" s="619">
        <v>1</v>
      </c>
      <c r="B24" s="620">
        <v>25745894</v>
      </c>
      <c r="C24" s="620">
        <v>119507.5</v>
      </c>
      <c r="D24" s="621">
        <v>1.1000000000000001</v>
      </c>
      <c r="E24" s="622">
        <v>6.7</v>
      </c>
    </row>
    <row r="25" spans="1:5" ht="16.5" customHeight="1" x14ac:dyDescent="0.3">
      <c r="A25" s="619">
        <v>2</v>
      </c>
      <c r="B25" s="620">
        <v>25698532</v>
      </c>
      <c r="C25" s="620">
        <v>119634.1</v>
      </c>
      <c r="D25" s="621">
        <v>1.1000000000000001</v>
      </c>
      <c r="E25" s="621">
        <v>6.7</v>
      </c>
    </row>
    <row r="26" spans="1:5" ht="16.5" customHeight="1" x14ac:dyDescent="0.3">
      <c r="A26" s="619">
        <v>3</v>
      </c>
      <c r="B26" s="620">
        <v>25806823</v>
      </c>
      <c r="C26" s="620">
        <v>120380.1</v>
      </c>
      <c r="D26" s="621">
        <v>1.1000000000000001</v>
      </c>
      <c r="E26" s="621">
        <v>6.7</v>
      </c>
    </row>
    <row r="27" spans="1:5" ht="16.5" customHeight="1" x14ac:dyDescent="0.3">
      <c r="A27" s="619">
        <v>4</v>
      </c>
      <c r="B27" s="620">
        <v>25741654</v>
      </c>
      <c r="C27" s="620">
        <v>120678.7</v>
      </c>
      <c r="D27" s="621">
        <v>1.1000000000000001</v>
      </c>
      <c r="E27" s="621">
        <v>6.7</v>
      </c>
    </row>
    <row r="28" spans="1:5" ht="16.5" customHeight="1" x14ac:dyDescent="0.3">
      <c r="A28" s="619">
        <v>5</v>
      </c>
      <c r="B28" s="620">
        <v>25793136</v>
      </c>
      <c r="C28" s="620">
        <v>120418</v>
      </c>
      <c r="D28" s="621">
        <v>1.1000000000000001</v>
      </c>
      <c r="E28" s="621">
        <v>6.7</v>
      </c>
    </row>
    <row r="29" spans="1:5" ht="16.5" customHeight="1" x14ac:dyDescent="0.3">
      <c r="A29" s="619">
        <v>6</v>
      </c>
      <c r="B29" s="623">
        <v>25748008</v>
      </c>
      <c r="C29" s="623">
        <v>120762.6</v>
      </c>
      <c r="D29" s="624">
        <v>1.1000000000000001</v>
      </c>
      <c r="E29" s="624">
        <v>6.7</v>
      </c>
    </row>
    <row r="30" spans="1:5" ht="16.5" customHeight="1" x14ac:dyDescent="0.3">
      <c r="A30" s="625" t="s">
        <v>18</v>
      </c>
      <c r="B30" s="626">
        <f>AVERAGE(B24:B29)</f>
        <v>25755674.5</v>
      </c>
      <c r="C30" s="627">
        <f>AVERAGE(C24:C29)</f>
        <v>120230.16666666667</v>
      </c>
      <c r="D30" s="628">
        <f>AVERAGE(D24:D29)</f>
        <v>1.0999999999999999</v>
      </c>
      <c r="E30" s="628">
        <f>AVERAGE(E24:E29)</f>
        <v>6.7</v>
      </c>
    </row>
    <row r="31" spans="1:5" ht="16.5" customHeight="1" x14ac:dyDescent="0.3">
      <c r="A31" s="629" t="s">
        <v>19</v>
      </c>
      <c r="B31" s="630">
        <f>(STDEV(B24:B29)/B30)</f>
        <v>1.5172932214038131E-3</v>
      </c>
      <c r="C31" s="631"/>
      <c r="D31" s="631"/>
      <c r="E31" s="632"/>
    </row>
    <row r="32" spans="1:5" s="606" customFormat="1" ht="16.5" customHeight="1" x14ac:dyDescent="0.3">
      <c r="A32" s="633" t="s">
        <v>20</v>
      </c>
      <c r="B32" s="634">
        <f>COUNT(B24:B29)</f>
        <v>6</v>
      </c>
      <c r="C32" s="635"/>
      <c r="D32" s="636"/>
      <c r="E32" s="637"/>
    </row>
    <row r="33" spans="1:5" s="606" customFormat="1" ht="15.75" customHeight="1" x14ac:dyDescent="0.25">
      <c r="A33" s="612"/>
      <c r="B33" s="612"/>
      <c r="C33" s="612"/>
      <c r="D33" s="612"/>
      <c r="E33" s="612"/>
    </row>
    <row r="34" spans="1:5" s="606" customFormat="1" ht="16.5" customHeight="1" x14ac:dyDescent="0.3">
      <c r="A34" s="613" t="s">
        <v>21</v>
      </c>
      <c r="B34" s="638" t="s">
        <v>22</v>
      </c>
      <c r="C34" s="639"/>
      <c r="D34" s="639"/>
      <c r="E34" s="639"/>
    </row>
    <row r="35" spans="1:5" ht="16.5" customHeight="1" x14ac:dyDescent="0.3">
      <c r="A35" s="613"/>
      <c r="B35" s="638" t="s">
        <v>23</v>
      </c>
      <c r="C35" s="639"/>
      <c r="D35" s="639"/>
      <c r="E35" s="639"/>
    </row>
    <row r="36" spans="1:5" ht="16.5" customHeight="1" x14ac:dyDescent="0.3">
      <c r="A36" s="613"/>
      <c r="B36" s="638" t="s">
        <v>24</v>
      </c>
      <c r="C36" s="639"/>
      <c r="D36" s="639"/>
      <c r="E36" s="639"/>
    </row>
    <row r="37" spans="1:5" ht="15.75" customHeight="1" x14ac:dyDescent="0.25">
      <c r="A37" s="612"/>
      <c r="B37" s="612"/>
      <c r="C37" s="612"/>
      <c r="D37" s="612"/>
      <c r="E37" s="612"/>
    </row>
    <row r="38" spans="1:5" ht="16.5" customHeight="1" x14ac:dyDescent="0.3">
      <c r="A38" s="608" t="s">
        <v>1</v>
      </c>
      <c r="B38" s="609" t="s">
        <v>25</v>
      </c>
    </row>
    <row r="39" spans="1:5" ht="16.5" customHeight="1" x14ac:dyDescent="0.3">
      <c r="A39" s="613" t="s">
        <v>4</v>
      </c>
      <c r="B39" s="640" t="str">
        <f>B18</f>
        <v>Tenofovir Disoproxil Fumarate</v>
      </c>
      <c r="C39" s="612"/>
      <c r="D39" s="612"/>
      <c r="E39" s="612"/>
    </row>
    <row r="40" spans="1:5" ht="16.5" customHeight="1" x14ac:dyDescent="0.3">
      <c r="A40" s="613" t="s">
        <v>6</v>
      </c>
      <c r="B40" s="614">
        <f>B19</f>
        <v>98.8</v>
      </c>
      <c r="C40" s="612"/>
      <c r="D40" s="612"/>
      <c r="E40" s="612"/>
    </row>
    <row r="41" spans="1:5" ht="16.5" customHeight="1" x14ac:dyDescent="0.3">
      <c r="A41" s="610" t="s">
        <v>8</v>
      </c>
      <c r="B41" s="614">
        <v>13.02</v>
      </c>
      <c r="C41" s="612"/>
      <c r="D41" s="612"/>
      <c r="E41" s="612"/>
    </row>
    <row r="42" spans="1:5" ht="16.5" customHeight="1" x14ac:dyDescent="0.3">
      <c r="A42" s="610" t="s">
        <v>10</v>
      </c>
      <c r="B42" s="616">
        <f>B41/50</f>
        <v>0.26039999999999996</v>
      </c>
      <c r="C42" s="612"/>
      <c r="D42" s="612"/>
      <c r="E42" s="612"/>
    </row>
    <row r="43" spans="1:5" ht="15.75" customHeight="1" x14ac:dyDescent="0.25">
      <c r="A43" s="612"/>
      <c r="B43" s="612"/>
      <c r="C43" s="612"/>
      <c r="D43" s="612"/>
      <c r="E43" s="612"/>
    </row>
    <row r="44" spans="1:5" ht="16.5" customHeight="1" x14ac:dyDescent="0.3">
      <c r="A44" s="617" t="s">
        <v>13</v>
      </c>
      <c r="B44" s="618" t="s">
        <v>14</v>
      </c>
      <c r="C44" s="617" t="s">
        <v>15</v>
      </c>
      <c r="D44" s="617" t="s">
        <v>16</v>
      </c>
      <c r="E44" s="617" t="s">
        <v>17</v>
      </c>
    </row>
    <row r="45" spans="1:5" ht="16.5" customHeight="1" x14ac:dyDescent="0.3">
      <c r="A45" s="619">
        <v>1</v>
      </c>
      <c r="B45" s="620">
        <v>60515392</v>
      </c>
      <c r="C45" s="620">
        <v>122355</v>
      </c>
      <c r="D45" s="621">
        <v>1.1000000000000001</v>
      </c>
      <c r="E45" s="622">
        <v>6.8</v>
      </c>
    </row>
    <row r="46" spans="1:5" ht="16.5" customHeight="1" x14ac:dyDescent="0.3">
      <c r="A46" s="619">
        <v>2</v>
      </c>
      <c r="B46" s="620">
        <v>60718249</v>
      </c>
      <c r="C46" s="620">
        <v>121063.6</v>
      </c>
      <c r="D46" s="621">
        <v>1.1000000000000001</v>
      </c>
      <c r="E46" s="621">
        <v>6.8</v>
      </c>
    </row>
    <row r="47" spans="1:5" ht="16.5" customHeight="1" x14ac:dyDescent="0.3">
      <c r="A47" s="619">
        <v>3</v>
      </c>
      <c r="B47" s="620">
        <v>60659300</v>
      </c>
      <c r="C47" s="620">
        <v>122629.6</v>
      </c>
      <c r="D47" s="621">
        <v>1.1000000000000001</v>
      </c>
      <c r="E47" s="621">
        <v>6.8</v>
      </c>
    </row>
    <row r="48" spans="1:5" ht="16.5" customHeight="1" x14ac:dyDescent="0.3">
      <c r="A48" s="619">
        <v>4</v>
      </c>
      <c r="B48" s="620">
        <v>60456985</v>
      </c>
      <c r="C48" s="620">
        <v>121718.5</v>
      </c>
      <c r="D48" s="621">
        <v>1</v>
      </c>
      <c r="E48" s="621">
        <v>6.8</v>
      </c>
    </row>
    <row r="49" spans="1:7" ht="16.5" customHeight="1" x14ac:dyDescent="0.3">
      <c r="A49" s="619">
        <v>5</v>
      </c>
      <c r="B49" s="620">
        <v>60494185</v>
      </c>
      <c r="C49" s="620">
        <v>121932.9</v>
      </c>
      <c r="D49" s="621">
        <v>1.1000000000000001</v>
      </c>
      <c r="E49" s="621">
        <v>6.8</v>
      </c>
    </row>
    <row r="50" spans="1:7" ht="16.5" customHeight="1" x14ac:dyDescent="0.3">
      <c r="A50" s="619">
        <v>6</v>
      </c>
      <c r="B50" s="623">
        <v>60473296</v>
      </c>
      <c r="C50" s="623">
        <v>120772.3</v>
      </c>
      <c r="D50" s="624">
        <v>1.1000000000000001</v>
      </c>
      <c r="E50" s="624">
        <v>6.8</v>
      </c>
    </row>
    <row r="51" spans="1:7" ht="16.5" customHeight="1" x14ac:dyDescent="0.3">
      <c r="A51" s="625" t="s">
        <v>18</v>
      </c>
      <c r="B51" s="626">
        <f>AVERAGE(B45:B50)</f>
        <v>60552901.166666664</v>
      </c>
      <c r="C51" s="627">
        <f>AVERAGE(C45:C50)</f>
        <v>121745.31666666667</v>
      </c>
      <c r="D51" s="628">
        <f>AVERAGE(D45:D50)</f>
        <v>1.0833333333333333</v>
      </c>
      <c r="E51" s="628">
        <f>AVERAGE(E45:E50)</f>
        <v>6.8</v>
      </c>
    </row>
    <row r="52" spans="1:7" ht="16.5" customHeight="1" x14ac:dyDescent="0.3">
      <c r="A52" s="629" t="s">
        <v>19</v>
      </c>
      <c r="B52" s="630">
        <f>(STDEV(B45:B50)/B51)</f>
        <v>1.794723230672961E-3</v>
      </c>
      <c r="C52" s="631"/>
      <c r="D52" s="631"/>
      <c r="E52" s="632"/>
    </row>
    <row r="53" spans="1:7" s="606" customFormat="1" ht="16.5" customHeight="1" x14ac:dyDescent="0.3">
      <c r="A53" s="633" t="s">
        <v>20</v>
      </c>
      <c r="B53" s="634">
        <f>COUNT(B45:B50)</f>
        <v>6</v>
      </c>
      <c r="C53" s="635"/>
      <c r="D53" s="636"/>
      <c r="E53" s="637"/>
    </row>
    <row r="54" spans="1:7" s="606" customFormat="1" ht="15.75" customHeight="1" x14ac:dyDescent="0.25">
      <c r="A54" s="612"/>
      <c r="B54" s="612"/>
      <c r="C54" s="612"/>
      <c r="D54" s="612"/>
      <c r="E54" s="612"/>
    </row>
    <row r="55" spans="1:7" s="606" customFormat="1" ht="16.5" customHeight="1" x14ac:dyDescent="0.3">
      <c r="A55" s="613" t="s">
        <v>21</v>
      </c>
      <c r="B55" s="638" t="s">
        <v>22</v>
      </c>
      <c r="C55" s="639"/>
      <c r="D55" s="639"/>
      <c r="E55" s="639"/>
    </row>
    <row r="56" spans="1:7" ht="16.5" customHeight="1" x14ac:dyDescent="0.3">
      <c r="A56" s="613"/>
      <c r="B56" s="638" t="s">
        <v>23</v>
      </c>
      <c r="C56" s="639"/>
      <c r="D56" s="639"/>
      <c r="E56" s="639"/>
    </row>
    <row r="57" spans="1:7" ht="16.5" customHeight="1" x14ac:dyDescent="0.3">
      <c r="A57" s="613"/>
      <c r="B57" s="638" t="s">
        <v>24</v>
      </c>
      <c r="C57" s="639"/>
      <c r="D57" s="639"/>
      <c r="E57" s="639"/>
    </row>
    <row r="58" spans="1:7" ht="14.25" customHeight="1" thickBot="1" x14ac:dyDescent="0.3">
      <c r="A58" s="641"/>
      <c r="B58" s="642"/>
      <c r="D58" s="643"/>
      <c r="F58" s="644"/>
      <c r="G58" s="644"/>
    </row>
    <row r="59" spans="1:7" ht="15" customHeight="1" x14ac:dyDescent="0.3">
      <c r="B59" s="702" t="s">
        <v>26</v>
      </c>
      <c r="C59" s="702"/>
      <c r="E59" s="645" t="s">
        <v>27</v>
      </c>
      <c r="F59" s="646"/>
      <c r="G59" s="645" t="s">
        <v>28</v>
      </c>
    </row>
    <row r="60" spans="1:7" ht="15" customHeight="1" x14ac:dyDescent="0.3">
      <c r="A60" s="647" t="s">
        <v>29</v>
      </c>
      <c r="B60" s="648" t="s">
        <v>133</v>
      </c>
      <c r="C60" s="648"/>
      <c r="E60" s="648"/>
      <c r="G60" s="648"/>
    </row>
    <row r="61" spans="1:7" ht="15" customHeight="1" x14ac:dyDescent="0.3">
      <c r="A61" s="647" t="s">
        <v>30</v>
      </c>
      <c r="B61" s="649"/>
      <c r="C61" s="649"/>
      <c r="E61" s="649"/>
      <c r="G61" s="6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60" sqref="B60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44"/>
  </cols>
  <sheetData>
    <row r="14" spans="1:6" ht="15" customHeight="1" x14ac:dyDescent="0.3">
      <c r="A14" s="651"/>
      <c r="C14" s="653"/>
      <c r="F14" s="653"/>
    </row>
    <row r="15" spans="1:6" ht="18.75" customHeight="1" x14ac:dyDescent="0.3">
      <c r="A15" s="703" t="s">
        <v>0</v>
      </c>
      <c r="B15" s="703"/>
      <c r="C15" s="703"/>
      <c r="D15" s="703"/>
      <c r="E15" s="703"/>
    </row>
    <row r="16" spans="1:6" ht="16.5" customHeight="1" x14ac:dyDescent="0.3">
      <c r="A16" s="654" t="s">
        <v>1</v>
      </c>
      <c r="B16" s="655" t="s">
        <v>2</v>
      </c>
    </row>
    <row r="17" spans="1:5" ht="16.5" customHeight="1" x14ac:dyDescent="0.3">
      <c r="A17" s="656" t="s">
        <v>3</v>
      </c>
      <c r="B17" s="656" t="s">
        <v>134</v>
      </c>
      <c r="D17" s="615"/>
      <c r="E17" s="657"/>
    </row>
    <row r="18" spans="1:5" ht="16.5" customHeight="1" x14ac:dyDescent="0.3">
      <c r="A18" s="658" t="s">
        <v>4</v>
      </c>
      <c r="B18" s="659" t="s">
        <v>135</v>
      </c>
      <c r="C18" s="657"/>
      <c r="D18" s="657"/>
      <c r="E18" s="657"/>
    </row>
    <row r="19" spans="1:5" ht="16.5" customHeight="1" x14ac:dyDescent="0.3">
      <c r="A19" s="658" t="s">
        <v>6</v>
      </c>
      <c r="B19" s="660">
        <v>99.3</v>
      </c>
      <c r="C19" s="657"/>
      <c r="D19" s="657"/>
      <c r="E19" s="657"/>
    </row>
    <row r="20" spans="1:5" ht="16.5" customHeight="1" x14ac:dyDescent="0.3">
      <c r="A20" s="656" t="s">
        <v>8</v>
      </c>
      <c r="B20" s="660">
        <f>[1]Lamivudine!D43</f>
        <v>17.850000000000001</v>
      </c>
      <c r="C20" s="657"/>
      <c r="D20" s="657"/>
      <c r="E20" s="657"/>
    </row>
    <row r="21" spans="1:5" ht="16.5" customHeight="1" x14ac:dyDescent="0.3">
      <c r="A21" s="656" t="s">
        <v>10</v>
      </c>
      <c r="B21" s="661">
        <f>B20/50*10/25</f>
        <v>0.14280000000000001</v>
      </c>
      <c r="C21" s="657"/>
      <c r="D21" s="657"/>
      <c r="E21" s="657"/>
    </row>
    <row r="22" spans="1:5" ht="15.75" customHeight="1" x14ac:dyDescent="0.25">
      <c r="A22" s="657"/>
      <c r="B22" s="657"/>
      <c r="C22" s="657"/>
      <c r="D22" s="657"/>
      <c r="E22" s="657"/>
    </row>
    <row r="23" spans="1:5" ht="16.5" customHeight="1" x14ac:dyDescent="0.3">
      <c r="A23" s="662" t="s">
        <v>13</v>
      </c>
      <c r="B23" s="663" t="s">
        <v>14</v>
      </c>
      <c r="C23" s="662" t="s">
        <v>15</v>
      </c>
      <c r="D23" s="662" t="s">
        <v>16</v>
      </c>
      <c r="E23" s="662" t="s">
        <v>17</v>
      </c>
    </row>
    <row r="24" spans="1:5" ht="16.5" customHeight="1" x14ac:dyDescent="0.3">
      <c r="A24" s="664">
        <v>1</v>
      </c>
      <c r="B24" s="665">
        <v>86851998</v>
      </c>
      <c r="C24" s="665">
        <v>12096.8</v>
      </c>
      <c r="D24" s="666">
        <v>1.1000000000000001</v>
      </c>
      <c r="E24" s="667">
        <v>2.2000000000000002</v>
      </c>
    </row>
    <row r="25" spans="1:5" ht="16.5" customHeight="1" x14ac:dyDescent="0.3">
      <c r="A25" s="664">
        <v>2</v>
      </c>
      <c r="B25" s="665">
        <v>86812502</v>
      </c>
      <c r="C25" s="665">
        <v>11951.5</v>
      </c>
      <c r="D25" s="666">
        <v>1.2</v>
      </c>
      <c r="E25" s="666">
        <v>2.2000000000000002</v>
      </c>
    </row>
    <row r="26" spans="1:5" ht="16.5" customHeight="1" x14ac:dyDescent="0.3">
      <c r="A26" s="664">
        <v>3</v>
      </c>
      <c r="B26" s="665">
        <v>87008605</v>
      </c>
      <c r="C26" s="665">
        <v>12072.7</v>
      </c>
      <c r="D26" s="666">
        <v>1.1000000000000001</v>
      </c>
      <c r="E26" s="666">
        <v>2.2000000000000002</v>
      </c>
    </row>
    <row r="27" spans="1:5" ht="16.5" customHeight="1" x14ac:dyDescent="0.3">
      <c r="A27" s="664">
        <v>4</v>
      </c>
      <c r="B27" s="665">
        <v>86816494</v>
      </c>
      <c r="C27" s="665">
        <v>12120.7</v>
      </c>
      <c r="D27" s="666">
        <v>1.1000000000000001</v>
      </c>
      <c r="E27" s="666">
        <v>2.2000000000000002</v>
      </c>
    </row>
    <row r="28" spans="1:5" ht="16.5" customHeight="1" x14ac:dyDescent="0.3">
      <c r="A28" s="664">
        <v>5</v>
      </c>
      <c r="B28" s="665">
        <v>86978023</v>
      </c>
      <c r="C28" s="665">
        <v>12141.3</v>
      </c>
      <c r="D28" s="666">
        <v>1.1000000000000001</v>
      </c>
      <c r="E28" s="666">
        <v>2.2000000000000002</v>
      </c>
    </row>
    <row r="29" spans="1:5" ht="16.5" customHeight="1" x14ac:dyDescent="0.3">
      <c r="A29" s="664">
        <v>6</v>
      </c>
      <c r="B29" s="668">
        <v>86818615</v>
      </c>
      <c r="C29" s="668">
        <v>12007.8</v>
      </c>
      <c r="D29" s="669">
        <v>1.1000000000000001</v>
      </c>
      <c r="E29" s="669">
        <v>2.2000000000000002</v>
      </c>
    </row>
    <row r="30" spans="1:5" ht="16.5" customHeight="1" x14ac:dyDescent="0.3">
      <c r="A30" s="670" t="s">
        <v>18</v>
      </c>
      <c r="B30" s="671">
        <f>AVERAGE(B24:B29)</f>
        <v>86881039.5</v>
      </c>
      <c r="C30" s="672">
        <f>AVERAGE(C24:C29)</f>
        <v>12065.133333333333</v>
      </c>
      <c r="D30" s="673">
        <f>AVERAGE(D24:D29)</f>
        <v>1.1166666666666665</v>
      </c>
      <c r="E30" s="673">
        <f>AVERAGE(E24:E29)</f>
        <v>2.1999999999999997</v>
      </c>
    </row>
    <row r="31" spans="1:5" ht="16.5" customHeight="1" x14ac:dyDescent="0.3">
      <c r="A31" s="674" t="s">
        <v>19</v>
      </c>
      <c r="B31" s="675">
        <f>(STDEV(B24:B29)/B30)</f>
        <v>1.0202098512938882E-3</v>
      </c>
      <c r="C31" s="676"/>
      <c r="D31" s="676"/>
      <c r="E31" s="677"/>
    </row>
    <row r="32" spans="1:5" s="652" customFormat="1" ht="16.5" customHeight="1" x14ac:dyDescent="0.3">
      <c r="A32" s="678" t="s">
        <v>20</v>
      </c>
      <c r="B32" s="679">
        <f>COUNT(B24:B29)</f>
        <v>6</v>
      </c>
      <c r="C32" s="680"/>
      <c r="D32" s="681"/>
      <c r="E32" s="682"/>
    </row>
    <row r="33" spans="1:5" s="652" customFormat="1" ht="15.75" customHeight="1" x14ac:dyDescent="0.25">
      <c r="A33" s="657"/>
      <c r="B33" s="657"/>
      <c r="C33" s="657"/>
      <c r="D33" s="657"/>
      <c r="E33" s="657"/>
    </row>
    <row r="34" spans="1:5" s="652" customFormat="1" ht="16.5" customHeight="1" x14ac:dyDescent="0.3">
      <c r="A34" s="658" t="s">
        <v>21</v>
      </c>
      <c r="B34" s="683" t="s">
        <v>136</v>
      </c>
      <c r="C34" s="684"/>
      <c r="D34" s="684"/>
      <c r="E34" s="684"/>
    </row>
    <row r="35" spans="1:5" ht="16.5" customHeight="1" x14ac:dyDescent="0.3">
      <c r="A35" s="658"/>
      <c r="B35" s="683" t="s">
        <v>137</v>
      </c>
      <c r="C35" s="684"/>
      <c r="D35" s="684"/>
      <c r="E35" s="684"/>
    </row>
    <row r="36" spans="1:5" ht="16.5" customHeight="1" x14ac:dyDescent="0.3">
      <c r="A36" s="658"/>
      <c r="B36" s="683" t="s">
        <v>138</v>
      </c>
      <c r="C36" s="684"/>
      <c r="D36" s="684"/>
      <c r="E36" s="684"/>
    </row>
    <row r="37" spans="1:5" ht="15.75" customHeight="1" x14ac:dyDescent="0.25">
      <c r="A37" s="657"/>
      <c r="B37" s="657"/>
      <c r="C37" s="657"/>
      <c r="D37" s="657"/>
      <c r="E37" s="657"/>
    </row>
    <row r="38" spans="1:5" ht="16.5" customHeight="1" x14ac:dyDescent="0.3">
      <c r="A38" s="654" t="s">
        <v>1</v>
      </c>
      <c r="B38" s="655" t="s">
        <v>25</v>
      </c>
    </row>
    <row r="39" spans="1:5" ht="16.5" customHeight="1" x14ac:dyDescent="0.3">
      <c r="A39" s="658" t="s">
        <v>4</v>
      </c>
      <c r="B39" s="656" t="str">
        <f>B18</f>
        <v>Lamivudine</v>
      </c>
      <c r="C39" s="657"/>
      <c r="D39" s="657"/>
      <c r="E39" s="657"/>
    </row>
    <row r="40" spans="1:5" ht="16.5" customHeight="1" x14ac:dyDescent="0.3">
      <c r="A40" s="658" t="s">
        <v>6</v>
      </c>
      <c r="B40" s="660">
        <f>[1]Lamivudine!B28</f>
        <v>99.3</v>
      </c>
      <c r="C40" s="657"/>
      <c r="D40" s="657"/>
      <c r="E40" s="657"/>
    </row>
    <row r="41" spans="1:5" ht="16.5" customHeight="1" x14ac:dyDescent="0.3">
      <c r="A41" s="656" t="s">
        <v>8</v>
      </c>
      <c r="B41" s="660">
        <v>12.88</v>
      </c>
      <c r="C41" s="657"/>
      <c r="D41" s="657"/>
      <c r="E41" s="657"/>
    </row>
    <row r="42" spans="1:5" ht="16.5" customHeight="1" x14ac:dyDescent="0.3">
      <c r="A42" s="656" t="s">
        <v>10</v>
      </c>
      <c r="B42" s="661">
        <f>B41/50</f>
        <v>0.2576</v>
      </c>
      <c r="C42" s="657"/>
      <c r="D42" s="657"/>
      <c r="E42" s="657"/>
    </row>
    <row r="43" spans="1:5" ht="15.75" customHeight="1" x14ac:dyDescent="0.25">
      <c r="A43" s="657"/>
      <c r="B43" s="657"/>
      <c r="C43" s="657"/>
      <c r="D43" s="657"/>
      <c r="E43" s="657"/>
    </row>
    <row r="44" spans="1:5" ht="16.5" customHeight="1" x14ac:dyDescent="0.3">
      <c r="A44" s="662" t="s">
        <v>13</v>
      </c>
      <c r="B44" s="663" t="s">
        <v>14</v>
      </c>
      <c r="C44" s="662" t="s">
        <v>15</v>
      </c>
      <c r="D44" s="662" t="s">
        <v>16</v>
      </c>
      <c r="E44" s="662" t="s">
        <v>17</v>
      </c>
    </row>
    <row r="45" spans="1:5" ht="16.5" customHeight="1" x14ac:dyDescent="0.3">
      <c r="A45" s="664">
        <v>1</v>
      </c>
      <c r="B45" s="665">
        <v>42927880</v>
      </c>
      <c r="C45" s="665">
        <v>17497.599999999999</v>
      </c>
      <c r="D45" s="666">
        <v>1.3</v>
      </c>
      <c r="E45" s="667">
        <v>2.6</v>
      </c>
    </row>
    <row r="46" spans="1:5" ht="16.5" customHeight="1" x14ac:dyDescent="0.3">
      <c r="A46" s="664">
        <v>2</v>
      </c>
      <c r="B46" s="665">
        <v>42492230</v>
      </c>
      <c r="C46" s="665">
        <v>17645.5</v>
      </c>
      <c r="D46" s="666">
        <v>1.2</v>
      </c>
      <c r="E46" s="666">
        <v>2.6</v>
      </c>
    </row>
    <row r="47" spans="1:5" ht="16.5" customHeight="1" x14ac:dyDescent="0.3">
      <c r="A47" s="664">
        <v>3</v>
      </c>
      <c r="B47" s="665">
        <v>42541843</v>
      </c>
      <c r="C47" s="665">
        <v>17721.2</v>
      </c>
      <c r="D47" s="666">
        <v>1.2</v>
      </c>
      <c r="E47" s="666">
        <v>2.6</v>
      </c>
    </row>
    <row r="48" spans="1:5" ht="16.5" customHeight="1" x14ac:dyDescent="0.3">
      <c r="A48" s="664">
        <v>4</v>
      </c>
      <c r="B48" s="665">
        <v>42463639</v>
      </c>
      <c r="C48" s="665">
        <v>17633.099999999999</v>
      </c>
      <c r="D48" s="666">
        <v>1.2</v>
      </c>
      <c r="E48" s="666">
        <v>2.6</v>
      </c>
    </row>
    <row r="49" spans="1:7" ht="16.5" customHeight="1" x14ac:dyDescent="0.3">
      <c r="A49" s="664">
        <v>5</v>
      </c>
      <c r="B49" s="665">
        <v>43052804</v>
      </c>
      <c r="C49" s="665">
        <v>17612.5</v>
      </c>
      <c r="D49" s="666">
        <v>1.2</v>
      </c>
      <c r="E49" s="666">
        <v>2.6</v>
      </c>
    </row>
    <row r="50" spans="1:7" ht="16.5" customHeight="1" x14ac:dyDescent="0.3">
      <c r="A50" s="664">
        <v>6</v>
      </c>
      <c r="B50" s="668">
        <v>42590464</v>
      </c>
      <c r="C50" s="668">
        <v>17621.400000000001</v>
      </c>
      <c r="D50" s="669">
        <v>1.2</v>
      </c>
      <c r="E50" s="669">
        <v>2.6</v>
      </c>
    </row>
    <row r="51" spans="1:7" ht="16.5" customHeight="1" x14ac:dyDescent="0.3">
      <c r="A51" s="670" t="s">
        <v>18</v>
      </c>
      <c r="B51" s="671">
        <f>AVERAGE(B45:B50)</f>
        <v>42678143.333333336</v>
      </c>
      <c r="C51" s="672">
        <f>AVERAGE(C45:C50)</f>
        <v>17621.883333333331</v>
      </c>
      <c r="D51" s="673">
        <f>AVERAGE(D45:D50)</f>
        <v>1.2166666666666668</v>
      </c>
      <c r="E51" s="673">
        <f>AVERAGE(E45:E50)</f>
        <v>2.6</v>
      </c>
    </row>
    <row r="52" spans="1:7" ht="16.5" customHeight="1" x14ac:dyDescent="0.3">
      <c r="A52" s="674" t="s">
        <v>19</v>
      </c>
      <c r="B52" s="675">
        <f>(STDEV(B45:B50)/B51)</f>
        <v>5.8303706820988233E-3</v>
      </c>
      <c r="C52" s="676"/>
      <c r="D52" s="676"/>
      <c r="E52" s="677"/>
    </row>
    <row r="53" spans="1:7" s="652" customFormat="1" ht="16.5" customHeight="1" x14ac:dyDescent="0.3">
      <c r="A53" s="678" t="s">
        <v>20</v>
      </c>
      <c r="B53" s="679">
        <f>COUNT(B45:B50)</f>
        <v>6</v>
      </c>
      <c r="C53" s="680"/>
      <c r="D53" s="681"/>
      <c r="E53" s="682"/>
    </row>
    <row r="54" spans="1:7" s="652" customFormat="1" ht="15.75" customHeight="1" x14ac:dyDescent="0.25">
      <c r="A54" s="657"/>
      <c r="B54" s="657"/>
      <c r="C54" s="657"/>
      <c r="D54" s="657"/>
      <c r="E54" s="657"/>
    </row>
    <row r="55" spans="1:7" s="652" customFormat="1" ht="16.5" customHeight="1" x14ac:dyDescent="0.3">
      <c r="A55" s="658" t="s">
        <v>21</v>
      </c>
      <c r="B55" s="683" t="s">
        <v>136</v>
      </c>
      <c r="C55" s="684"/>
      <c r="D55" s="684"/>
      <c r="E55" s="684"/>
    </row>
    <row r="56" spans="1:7" ht="16.5" customHeight="1" x14ac:dyDescent="0.3">
      <c r="A56" s="658"/>
      <c r="B56" s="683" t="s">
        <v>137</v>
      </c>
      <c r="C56" s="684"/>
      <c r="D56" s="684"/>
      <c r="E56" s="684"/>
    </row>
    <row r="57" spans="1:7" ht="16.5" customHeight="1" x14ac:dyDescent="0.3">
      <c r="A57" s="658"/>
      <c r="B57" s="683" t="s">
        <v>138</v>
      </c>
      <c r="C57" s="684"/>
      <c r="D57" s="684"/>
      <c r="E57" s="684"/>
    </row>
    <row r="58" spans="1:7" ht="14.25" customHeight="1" thickBot="1" x14ac:dyDescent="0.3">
      <c r="A58" s="685"/>
      <c r="B58" s="686"/>
      <c r="D58" s="687"/>
      <c r="F58" s="644"/>
      <c r="G58" s="644"/>
    </row>
    <row r="59" spans="1:7" ht="15" customHeight="1" x14ac:dyDescent="0.3">
      <c r="B59" s="704" t="s">
        <v>26</v>
      </c>
      <c r="C59" s="704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 t="s">
        <v>133</v>
      </c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60" sqref="B60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44"/>
  </cols>
  <sheetData>
    <row r="14" spans="1:6" ht="15" customHeight="1" x14ac:dyDescent="0.3">
      <c r="A14" s="651"/>
      <c r="C14" s="653"/>
      <c r="F14" s="653"/>
    </row>
    <row r="15" spans="1:6" ht="18.75" customHeight="1" x14ac:dyDescent="0.3">
      <c r="A15" s="703" t="s">
        <v>0</v>
      </c>
      <c r="B15" s="703"/>
      <c r="C15" s="703"/>
      <c r="D15" s="703"/>
      <c r="E15" s="703"/>
    </row>
    <row r="16" spans="1:6" ht="16.5" customHeight="1" x14ac:dyDescent="0.3">
      <c r="A16" s="654" t="s">
        <v>1</v>
      </c>
      <c r="B16" s="655" t="s">
        <v>2</v>
      </c>
    </row>
    <row r="17" spans="1:5" ht="16.5" customHeight="1" x14ac:dyDescent="0.3">
      <c r="A17" s="656" t="s">
        <v>3</v>
      </c>
      <c r="B17" s="656" t="s">
        <v>139</v>
      </c>
      <c r="D17" s="615"/>
      <c r="E17" s="657"/>
    </row>
    <row r="18" spans="1:5" ht="16.5" customHeight="1" x14ac:dyDescent="0.3">
      <c r="A18" s="658" t="s">
        <v>4</v>
      </c>
      <c r="B18" s="659" t="s">
        <v>140</v>
      </c>
      <c r="C18" s="657"/>
      <c r="D18" s="657"/>
      <c r="E18" s="657"/>
    </row>
    <row r="19" spans="1:5" ht="16.5" customHeight="1" x14ac:dyDescent="0.3">
      <c r="A19" s="658" t="s">
        <v>6</v>
      </c>
      <c r="B19" s="660">
        <v>99.7</v>
      </c>
      <c r="C19" s="657"/>
      <c r="D19" s="657"/>
      <c r="E19" s="657"/>
    </row>
    <row r="20" spans="1:5" ht="16.5" customHeight="1" x14ac:dyDescent="0.3">
      <c r="A20" s="656" t="s">
        <v>8</v>
      </c>
      <c r="B20" s="660">
        <v>27.92</v>
      </c>
      <c r="C20" s="657"/>
      <c r="D20" s="657"/>
      <c r="E20" s="657"/>
    </row>
    <row r="21" spans="1:5" ht="16.5" customHeight="1" x14ac:dyDescent="0.3">
      <c r="A21" s="656" t="s">
        <v>10</v>
      </c>
      <c r="B21" s="661">
        <f>B20/50*10/25</f>
        <v>0.22335999999999998</v>
      </c>
      <c r="C21" s="657"/>
      <c r="D21" s="657"/>
      <c r="E21" s="657"/>
    </row>
    <row r="22" spans="1:5" ht="15.75" customHeight="1" x14ac:dyDescent="0.25">
      <c r="A22" s="657"/>
      <c r="B22" s="657"/>
      <c r="C22" s="657"/>
      <c r="D22" s="657"/>
      <c r="E22" s="657"/>
    </row>
    <row r="23" spans="1:5" ht="16.5" customHeight="1" x14ac:dyDescent="0.3">
      <c r="A23" s="662" t="s">
        <v>13</v>
      </c>
      <c r="B23" s="663" t="s">
        <v>14</v>
      </c>
      <c r="C23" s="662" t="s">
        <v>15</v>
      </c>
      <c r="D23" s="662" t="s">
        <v>16</v>
      </c>
      <c r="E23" s="662" t="s">
        <v>17</v>
      </c>
    </row>
    <row r="24" spans="1:5" ht="16.5" customHeight="1" x14ac:dyDescent="0.3">
      <c r="A24" s="664">
        <v>1</v>
      </c>
      <c r="B24" s="665">
        <v>10775712</v>
      </c>
      <c r="C24" s="665">
        <v>100944.9</v>
      </c>
      <c r="D24" s="666">
        <v>1.1000000000000001</v>
      </c>
      <c r="E24" s="667">
        <v>7.8</v>
      </c>
    </row>
    <row r="25" spans="1:5" ht="16.5" customHeight="1" x14ac:dyDescent="0.3">
      <c r="A25" s="664">
        <v>2</v>
      </c>
      <c r="B25" s="665">
        <v>10781184</v>
      </c>
      <c r="C25" s="665">
        <v>99784.2</v>
      </c>
      <c r="D25" s="666">
        <v>1</v>
      </c>
      <c r="E25" s="666">
        <v>7.8</v>
      </c>
    </row>
    <row r="26" spans="1:5" ht="16.5" customHeight="1" x14ac:dyDescent="0.3">
      <c r="A26" s="664">
        <v>3</v>
      </c>
      <c r="B26" s="665">
        <v>10817283</v>
      </c>
      <c r="C26" s="665">
        <v>100478.5</v>
      </c>
      <c r="D26" s="666">
        <v>1.1000000000000001</v>
      </c>
      <c r="E26" s="666">
        <v>7.8</v>
      </c>
    </row>
    <row r="27" spans="1:5" ht="16.5" customHeight="1" x14ac:dyDescent="0.3">
      <c r="A27" s="664">
        <v>4</v>
      </c>
      <c r="B27" s="665">
        <v>10799030</v>
      </c>
      <c r="C27" s="665">
        <v>100748.6</v>
      </c>
      <c r="D27" s="666">
        <v>1</v>
      </c>
      <c r="E27" s="666">
        <v>7.8</v>
      </c>
    </row>
    <row r="28" spans="1:5" ht="16.5" customHeight="1" x14ac:dyDescent="0.3">
      <c r="A28" s="664">
        <v>5</v>
      </c>
      <c r="B28" s="665">
        <v>10795712</v>
      </c>
      <c r="C28" s="665">
        <v>100959.6</v>
      </c>
      <c r="D28" s="666">
        <v>1</v>
      </c>
      <c r="E28" s="666">
        <v>7.8</v>
      </c>
    </row>
    <row r="29" spans="1:5" ht="16.5" customHeight="1" x14ac:dyDescent="0.3">
      <c r="A29" s="664">
        <v>6</v>
      </c>
      <c r="B29" s="668">
        <v>10805522</v>
      </c>
      <c r="C29" s="668">
        <v>100028.8</v>
      </c>
      <c r="D29" s="669">
        <v>1.1000000000000001</v>
      </c>
      <c r="E29" s="669">
        <v>7.8</v>
      </c>
    </row>
    <row r="30" spans="1:5" ht="16.5" customHeight="1" x14ac:dyDescent="0.3">
      <c r="A30" s="670" t="s">
        <v>18</v>
      </c>
      <c r="B30" s="671">
        <f>AVERAGE(B24:B29)</f>
        <v>10795740.5</v>
      </c>
      <c r="C30" s="672">
        <f>AVERAGE(C24:C29)</f>
        <v>100490.76666666666</v>
      </c>
      <c r="D30" s="673">
        <f>AVERAGE(D24:D29)</f>
        <v>1.05</v>
      </c>
      <c r="E30" s="673">
        <f>AVERAGE(E24:E29)</f>
        <v>7.8</v>
      </c>
    </row>
    <row r="31" spans="1:5" ht="16.5" customHeight="1" x14ac:dyDescent="0.3">
      <c r="A31" s="674" t="s">
        <v>19</v>
      </c>
      <c r="B31" s="675">
        <f>(STDEV(B24:B29)/B30)</f>
        <v>1.4251713709638653E-3</v>
      </c>
      <c r="C31" s="676"/>
      <c r="D31" s="676"/>
      <c r="E31" s="677"/>
    </row>
    <row r="32" spans="1:5" s="652" customFormat="1" ht="16.5" customHeight="1" x14ac:dyDescent="0.3">
      <c r="A32" s="678" t="s">
        <v>20</v>
      </c>
      <c r="B32" s="679">
        <f>COUNT(B24:B29)</f>
        <v>6</v>
      </c>
      <c r="C32" s="680"/>
      <c r="D32" s="681"/>
      <c r="E32" s="682"/>
    </row>
    <row r="33" spans="1:5" s="652" customFormat="1" ht="15.75" customHeight="1" x14ac:dyDescent="0.25">
      <c r="A33" s="657"/>
      <c r="B33" s="657"/>
      <c r="C33" s="657"/>
      <c r="D33" s="657"/>
      <c r="E33" s="657"/>
    </row>
    <row r="34" spans="1:5" s="652" customFormat="1" ht="16.5" customHeight="1" x14ac:dyDescent="0.3">
      <c r="A34" s="658" t="s">
        <v>21</v>
      </c>
      <c r="B34" s="683" t="s">
        <v>136</v>
      </c>
      <c r="C34" s="684"/>
      <c r="D34" s="684"/>
      <c r="E34" s="684"/>
    </row>
    <row r="35" spans="1:5" ht="16.5" customHeight="1" x14ac:dyDescent="0.3">
      <c r="A35" s="658"/>
      <c r="B35" s="683" t="s">
        <v>137</v>
      </c>
      <c r="C35" s="684"/>
      <c r="D35" s="684"/>
      <c r="E35" s="684"/>
    </row>
    <row r="36" spans="1:5" ht="16.5" customHeight="1" x14ac:dyDescent="0.3">
      <c r="A36" s="658"/>
      <c r="B36" s="683" t="s">
        <v>138</v>
      </c>
      <c r="C36" s="684"/>
      <c r="D36" s="684"/>
      <c r="E36" s="684"/>
    </row>
    <row r="37" spans="1:5" ht="15.75" customHeight="1" x14ac:dyDescent="0.25">
      <c r="A37" s="657"/>
      <c r="B37" s="657"/>
      <c r="C37" s="657"/>
      <c r="D37" s="657"/>
      <c r="E37" s="657"/>
    </row>
    <row r="38" spans="1:5" ht="16.5" customHeight="1" x14ac:dyDescent="0.3">
      <c r="A38" s="654" t="s">
        <v>1</v>
      </c>
      <c r="B38" s="655" t="s">
        <v>25</v>
      </c>
    </row>
    <row r="39" spans="1:5" ht="16.5" customHeight="1" x14ac:dyDescent="0.3">
      <c r="A39" s="658" t="s">
        <v>4</v>
      </c>
      <c r="B39" s="656" t="str">
        <f>B18</f>
        <v>Efavirenz</v>
      </c>
      <c r="C39" s="657"/>
      <c r="D39" s="657"/>
      <c r="E39" s="657"/>
    </row>
    <row r="40" spans="1:5" ht="16.5" customHeight="1" x14ac:dyDescent="0.3">
      <c r="A40" s="658" t="s">
        <v>6</v>
      </c>
      <c r="B40" s="660">
        <v>99.7</v>
      </c>
      <c r="C40" s="657"/>
      <c r="D40" s="657"/>
      <c r="E40" s="657"/>
    </row>
    <row r="41" spans="1:5" ht="16.5" customHeight="1" x14ac:dyDescent="0.3">
      <c r="A41" s="656" t="s">
        <v>8</v>
      </c>
      <c r="B41" s="660">
        <v>24.69</v>
      </c>
      <c r="C41" s="657"/>
      <c r="D41" s="657"/>
      <c r="E41" s="657"/>
    </row>
    <row r="42" spans="1:5" ht="16.5" customHeight="1" x14ac:dyDescent="0.3">
      <c r="A42" s="656" t="s">
        <v>10</v>
      </c>
      <c r="B42" s="661">
        <f>B41/50</f>
        <v>0.49380000000000002</v>
      </c>
      <c r="C42" s="657"/>
      <c r="D42" s="657"/>
      <c r="E42" s="657"/>
    </row>
    <row r="43" spans="1:5" ht="15.75" customHeight="1" x14ac:dyDescent="0.25">
      <c r="A43" s="657"/>
      <c r="B43" s="657"/>
      <c r="C43" s="657"/>
      <c r="D43" s="657"/>
      <c r="E43" s="657"/>
    </row>
    <row r="44" spans="1:5" ht="16.5" customHeight="1" x14ac:dyDescent="0.3">
      <c r="A44" s="662" t="s">
        <v>13</v>
      </c>
      <c r="B44" s="663" t="s">
        <v>14</v>
      </c>
      <c r="C44" s="662" t="s">
        <v>15</v>
      </c>
      <c r="D44" s="662" t="s">
        <v>16</v>
      </c>
      <c r="E44" s="662" t="s">
        <v>17</v>
      </c>
    </row>
    <row r="45" spans="1:5" ht="16.5" customHeight="1" x14ac:dyDescent="0.3">
      <c r="A45" s="664">
        <v>1</v>
      </c>
      <c r="B45" s="665">
        <v>36668421</v>
      </c>
      <c r="C45" s="665">
        <v>90950.5</v>
      </c>
      <c r="D45" s="666">
        <v>1</v>
      </c>
      <c r="E45" s="667">
        <v>8.1999999999999993</v>
      </c>
    </row>
    <row r="46" spans="1:5" ht="16.5" customHeight="1" x14ac:dyDescent="0.3">
      <c r="A46" s="664">
        <v>2</v>
      </c>
      <c r="B46" s="665">
        <v>36691754</v>
      </c>
      <c r="C46" s="665">
        <v>91479.2</v>
      </c>
      <c r="D46" s="666">
        <v>1.1000000000000001</v>
      </c>
      <c r="E46" s="666">
        <v>8.1999999999999993</v>
      </c>
    </row>
    <row r="47" spans="1:5" ht="16.5" customHeight="1" x14ac:dyDescent="0.3">
      <c r="A47" s="664">
        <v>3</v>
      </c>
      <c r="B47" s="665">
        <v>36723692</v>
      </c>
      <c r="C47" s="665">
        <v>90754.1</v>
      </c>
      <c r="D47" s="666">
        <v>1</v>
      </c>
      <c r="E47" s="666">
        <v>8.1999999999999993</v>
      </c>
    </row>
    <row r="48" spans="1:5" ht="16.5" customHeight="1" x14ac:dyDescent="0.3">
      <c r="A48" s="664">
        <v>4</v>
      </c>
      <c r="B48" s="665">
        <v>36749838</v>
      </c>
      <c r="C48" s="665">
        <v>91202.6</v>
      </c>
      <c r="D48" s="666">
        <v>1</v>
      </c>
      <c r="E48" s="666">
        <v>8.1999999999999993</v>
      </c>
    </row>
    <row r="49" spans="1:7" ht="16.5" customHeight="1" x14ac:dyDescent="0.3">
      <c r="A49" s="664">
        <v>5</v>
      </c>
      <c r="B49" s="665">
        <v>36754871</v>
      </c>
      <c r="C49" s="665">
        <v>90873.7</v>
      </c>
      <c r="D49" s="666">
        <v>1</v>
      </c>
      <c r="E49" s="666">
        <v>8.1999999999999993</v>
      </c>
    </row>
    <row r="50" spans="1:7" ht="16.5" customHeight="1" x14ac:dyDescent="0.3">
      <c r="A50" s="664">
        <v>6</v>
      </c>
      <c r="B50" s="668">
        <v>36743835</v>
      </c>
      <c r="C50" s="668">
        <v>91422.5</v>
      </c>
      <c r="D50" s="669">
        <v>1</v>
      </c>
      <c r="E50" s="669">
        <v>8.1999999999999993</v>
      </c>
    </row>
    <row r="51" spans="1:7" ht="16.5" customHeight="1" x14ac:dyDescent="0.3">
      <c r="A51" s="670" t="s">
        <v>18</v>
      </c>
      <c r="B51" s="671">
        <f>AVERAGE(B45:B50)</f>
        <v>36722068.5</v>
      </c>
      <c r="C51" s="672">
        <f>AVERAGE(C45:C50)</f>
        <v>91113.766666666677</v>
      </c>
      <c r="D51" s="673">
        <f>AVERAGE(D45:D50)</f>
        <v>1.0166666666666666</v>
      </c>
      <c r="E51" s="673">
        <f>AVERAGE(E45:E50)</f>
        <v>8.2000000000000011</v>
      </c>
    </row>
    <row r="52" spans="1:7" ht="16.5" customHeight="1" x14ac:dyDescent="0.3">
      <c r="A52" s="674" t="s">
        <v>19</v>
      </c>
      <c r="B52" s="675">
        <f>(STDEV(B45:B50)/B51)</f>
        <v>9.5276206092348176E-4</v>
      </c>
      <c r="C52" s="676"/>
      <c r="D52" s="676"/>
      <c r="E52" s="677"/>
    </row>
    <row r="53" spans="1:7" s="652" customFormat="1" ht="16.5" customHeight="1" x14ac:dyDescent="0.3">
      <c r="A53" s="678" t="s">
        <v>20</v>
      </c>
      <c r="B53" s="679">
        <f>COUNT(B45:B50)</f>
        <v>6</v>
      </c>
      <c r="C53" s="680"/>
      <c r="D53" s="681"/>
      <c r="E53" s="682"/>
    </row>
    <row r="54" spans="1:7" s="652" customFormat="1" ht="15.75" customHeight="1" x14ac:dyDescent="0.25">
      <c r="A54" s="657"/>
      <c r="B54" s="657"/>
      <c r="C54" s="657"/>
      <c r="D54" s="657"/>
      <c r="E54" s="657"/>
    </row>
    <row r="55" spans="1:7" s="652" customFormat="1" ht="16.5" customHeight="1" x14ac:dyDescent="0.3">
      <c r="A55" s="658" t="s">
        <v>21</v>
      </c>
      <c r="B55" s="683" t="s">
        <v>136</v>
      </c>
      <c r="C55" s="684"/>
      <c r="D55" s="684"/>
      <c r="E55" s="684"/>
    </row>
    <row r="56" spans="1:7" ht="16.5" customHeight="1" x14ac:dyDescent="0.3">
      <c r="A56" s="658"/>
      <c r="B56" s="683" t="s">
        <v>137</v>
      </c>
      <c r="C56" s="684"/>
      <c r="D56" s="684"/>
      <c r="E56" s="684"/>
    </row>
    <row r="57" spans="1:7" ht="16.5" customHeight="1" x14ac:dyDescent="0.3">
      <c r="A57" s="658"/>
      <c r="B57" s="683" t="s">
        <v>138</v>
      </c>
      <c r="C57" s="684"/>
      <c r="D57" s="684"/>
      <c r="E57" s="684"/>
    </row>
    <row r="58" spans="1:7" ht="14.25" customHeight="1" thickBot="1" x14ac:dyDescent="0.3">
      <c r="A58" s="685"/>
      <c r="B58" s="686"/>
      <c r="D58" s="687"/>
      <c r="F58" s="644"/>
      <c r="G58" s="644"/>
    </row>
    <row r="59" spans="1:7" ht="15" customHeight="1" x14ac:dyDescent="0.3">
      <c r="B59" s="704" t="s">
        <v>26</v>
      </c>
      <c r="C59" s="704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 t="s">
        <v>133</v>
      </c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08" t="s">
        <v>31</v>
      </c>
      <c r="B11" s="709"/>
      <c r="C11" s="709"/>
      <c r="D11" s="709"/>
      <c r="E11" s="709"/>
      <c r="F11" s="710"/>
      <c r="G11" s="43"/>
    </row>
    <row r="12" spans="1:7" ht="16.5" customHeight="1" x14ac:dyDescent="0.3">
      <c r="A12" s="707" t="s">
        <v>32</v>
      </c>
      <c r="B12" s="707"/>
      <c r="C12" s="707"/>
      <c r="D12" s="707"/>
      <c r="E12" s="707"/>
      <c r="F12" s="707"/>
      <c r="G12" s="42"/>
    </row>
    <row r="14" spans="1:7" ht="16.5" customHeight="1" x14ac:dyDescent="0.3">
      <c r="A14" s="712" t="s">
        <v>33</v>
      </c>
      <c r="B14" s="712"/>
      <c r="C14" s="12" t="s">
        <v>5</v>
      </c>
    </row>
    <row r="15" spans="1:7" ht="16.5" customHeight="1" x14ac:dyDescent="0.3">
      <c r="A15" s="712" t="s">
        <v>34</v>
      </c>
      <c r="B15" s="712"/>
      <c r="C15" s="12" t="s">
        <v>7</v>
      </c>
    </row>
    <row r="16" spans="1:7" ht="16.5" customHeight="1" x14ac:dyDescent="0.3">
      <c r="A16" s="712" t="s">
        <v>35</v>
      </c>
      <c r="B16" s="712"/>
      <c r="C16" s="12" t="s">
        <v>9</v>
      </c>
    </row>
    <row r="17" spans="1:5" ht="16.5" customHeight="1" x14ac:dyDescent="0.3">
      <c r="A17" s="712" t="s">
        <v>36</v>
      </c>
      <c r="B17" s="712"/>
      <c r="C17" s="12" t="s">
        <v>11</v>
      </c>
    </row>
    <row r="18" spans="1:5" ht="16.5" customHeight="1" x14ac:dyDescent="0.3">
      <c r="A18" s="712" t="s">
        <v>37</v>
      </c>
      <c r="B18" s="712"/>
      <c r="C18" s="49" t="s">
        <v>12</v>
      </c>
    </row>
    <row r="19" spans="1:5" ht="16.5" customHeight="1" x14ac:dyDescent="0.3">
      <c r="A19" s="712" t="s">
        <v>38</v>
      </c>
      <c r="B19" s="71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7" t="s">
        <v>1</v>
      </c>
      <c r="B21" s="707"/>
      <c r="C21" s="11" t="s">
        <v>39</v>
      </c>
      <c r="D21" s="18"/>
    </row>
    <row r="22" spans="1:5" ht="15.75" customHeight="1" x14ac:dyDescent="0.3">
      <c r="A22" s="711"/>
      <c r="B22" s="711"/>
      <c r="C22" s="9"/>
      <c r="D22" s="711"/>
      <c r="E22" s="711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1748.08</v>
      </c>
      <c r="D24" s="39">
        <f t="shared" ref="D24:D43" si="0">(C24-$C$46)/$C$46</f>
        <v>-8.849356816329465E-3</v>
      </c>
      <c r="E24" s="5"/>
    </row>
    <row r="25" spans="1:5" ht="15.75" customHeight="1" x14ac:dyDescent="0.3">
      <c r="C25" s="47">
        <v>1770.43</v>
      </c>
      <c r="D25" s="40">
        <f t="shared" si="0"/>
        <v>3.8229561642865099E-3</v>
      </c>
      <c r="E25" s="5"/>
    </row>
    <row r="26" spans="1:5" ht="15.75" customHeight="1" x14ac:dyDescent="0.3">
      <c r="C26" s="47">
        <v>1767.14</v>
      </c>
      <c r="D26" s="40">
        <f t="shared" si="0"/>
        <v>1.95754633403032E-3</v>
      </c>
      <c r="E26" s="5"/>
    </row>
    <row r="27" spans="1:5" ht="15.75" customHeight="1" x14ac:dyDescent="0.3">
      <c r="C27" s="47">
        <v>1772.24</v>
      </c>
      <c r="D27" s="40">
        <f t="shared" si="0"/>
        <v>4.8492150678620836E-3</v>
      </c>
      <c r="E27" s="5"/>
    </row>
    <row r="28" spans="1:5" ht="15.75" customHeight="1" x14ac:dyDescent="0.3">
      <c r="C28" s="47">
        <v>1767.37</v>
      </c>
      <c r="D28" s="40">
        <f t="shared" si="0"/>
        <v>2.0879549239873224E-3</v>
      </c>
      <c r="E28" s="5"/>
    </row>
    <row r="29" spans="1:5" ht="15.75" customHeight="1" x14ac:dyDescent="0.3">
      <c r="C29" s="47">
        <v>1766.87</v>
      </c>
      <c r="D29" s="40">
        <f t="shared" si="0"/>
        <v>1.8044579892979289E-3</v>
      </c>
      <c r="E29" s="5"/>
    </row>
    <row r="30" spans="1:5" ht="15.75" customHeight="1" x14ac:dyDescent="0.3">
      <c r="C30" s="47">
        <v>1759.66</v>
      </c>
      <c r="D30" s="40">
        <f t="shared" si="0"/>
        <v>-2.2835678089230195E-3</v>
      </c>
      <c r="E30" s="5"/>
    </row>
    <row r="31" spans="1:5" ht="15.75" customHeight="1" x14ac:dyDescent="0.3">
      <c r="C31" s="47">
        <v>1783.96</v>
      </c>
      <c r="D31" s="40">
        <f t="shared" si="0"/>
        <v>1.1494383216981487E-2</v>
      </c>
      <c r="E31" s="5"/>
    </row>
    <row r="32" spans="1:5" ht="15.75" customHeight="1" x14ac:dyDescent="0.3">
      <c r="C32" s="47">
        <v>1758.04</v>
      </c>
      <c r="D32" s="40">
        <f t="shared" si="0"/>
        <v>-3.202097877316722E-3</v>
      </c>
      <c r="E32" s="5"/>
    </row>
    <row r="33" spans="1:7" ht="15.75" customHeight="1" x14ac:dyDescent="0.3">
      <c r="C33" s="47">
        <v>1751.21</v>
      </c>
      <c r="D33" s="40">
        <f t="shared" si="0"/>
        <v>-7.0746660051737983E-3</v>
      </c>
      <c r="E33" s="5"/>
    </row>
    <row r="34" spans="1:7" ht="15.75" customHeight="1" x14ac:dyDescent="0.3">
      <c r="C34" s="47">
        <v>1767.93</v>
      </c>
      <c r="D34" s="40">
        <f t="shared" si="0"/>
        <v>2.4054714908395415E-3</v>
      </c>
      <c r="E34" s="5"/>
    </row>
    <row r="35" spans="1:7" ht="15.75" customHeight="1" x14ac:dyDescent="0.3">
      <c r="C35" s="47">
        <v>1766.38</v>
      </c>
      <c r="D35" s="40">
        <f t="shared" si="0"/>
        <v>1.5266309933024468E-3</v>
      </c>
      <c r="E35" s="5"/>
    </row>
    <row r="36" spans="1:7" ht="15.75" customHeight="1" x14ac:dyDescent="0.3">
      <c r="C36" s="47">
        <v>1768.89</v>
      </c>
      <c r="D36" s="40">
        <f t="shared" si="0"/>
        <v>2.9497856054431981E-3</v>
      </c>
      <c r="E36" s="5"/>
    </row>
    <row r="37" spans="1:7" ht="15.75" customHeight="1" x14ac:dyDescent="0.3">
      <c r="C37" s="47">
        <v>1769.45</v>
      </c>
      <c r="D37" s="40">
        <f t="shared" si="0"/>
        <v>3.267302172295288E-3</v>
      </c>
      <c r="E37" s="5"/>
    </row>
    <row r="38" spans="1:7" ht="15.75" customHeight="1" x14ac:dyDescent="0.3">
      <c r="C38" s="47">
        <v>1775.46</v>
      </c>
      <c r="D38" s="40">
        <f t="shared" si="0"/>
        <v>6.6749353272617948E-3</v>
      </c>
      <c r="E38" s="5"/>
    </row>
    <row r="39" spans="1:7" ht="15.75" customHeight="1" x14ac:dyDescent="0.3">
      <c r="C39" s="47">
        <v>1745.98</v>
      </c>
      <c r="D39" s="40">
        <f t="shared" si="0"/>
        <v>-1.0040043942024866E-2</v>
      </c>
      <c r="E39" s="5"/>
    </row>
    <row r="40" spans="1:7" ht="15.75" customHeight="1" x14ac:dyDescent="0.3">
      <c r="C40" s="47">
        <v>1746.02</v>
      </c>
      <c r="D40" s="40">
        <f t="shared" si="0"/>
        <v>-1.0017364187249736E-2</v>
      </c>
      <c r="E40" s="5"/>
    </row>
    <row r="41" spans="1:7" ht="15.75" customHeight="1" x14ac:dyDescent="0.3">
      <c r="C41" s="47">
        <v>1751.67</v>
      </c>
      <c r="D41" s="40">
        <f t="shared" si="0"/>
        <v>-6.813848825259536E-3</v>
      </c>
      <c r="E41" s="5"/>
    </row>
    <row r="42" spans="1:7" ht="15.75" customHeight="1" x14ac:dyDescent="0.3">
      <c r="C42" s="47">
        <v>1772.64</v>
      </c>
      <c r="D42" s="40">
        <f t="shared" si="0"/>
        <v>5.0760126156136507E-3</v>
      </c>
      <c r="E42" s="5"/>
    </row>
    <row r="43" spans="1:7" ht="16.5" customHeight="1" x14ac:dyDescent="0.3">
      <c r="C43" s="48">
        <v>1764.33</v>
      </c>
      <c r="D43" s="41">
        <f t="shared" si="0"/>
        <v>3.6429356107582964E-4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35273.75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1763.6875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5">
        <f>C46</f>
        <v>1763.6875</v>
      </c>
      <c r="C49" s="45">
        <f>-IF(C46&lt;=80,10%,IF(C46&lt;250,7.5%,5%))</f>
        <v>-0.05</v>
      </c>
      <c r="D49" s="33">
        <f>IF(C46&lt;=80,C46*0.9,IF(C46&lt;250,C46*0.925,C46*0.95))</f>
        <v>1675.503125</v>
      </c>
    </row>
    <row r="50" spans="1:6" ht="17.25" customHeight="1" x14ac:dyDescent="0.3">
      <c r="B50" s="706"/>
      <c r="C50" s="46">
        <f>IF(C46&lt;=80, 10%, IF(C46&lt;250, 7.5%, 5%))</f>
        <v>0.05</v>
      </c>
      <c r="D50" s="33">
        <f>IF(C46&lt;=80, C46*1.1, IF(C46&lt;250, C46*1.075, C46*1.05))</f>
        <v>1851.871875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8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3" t="s">
        <v>45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 x14ac:dyDescent="0.25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 x14ac:dyDescent="0.25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 x14ac:dyDescent="0.25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 x14ac:dyDescent="0.25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 x14ac:dyDescent="0.25">
      <c r="A7" s="713"/>
      <c r="B7" s="713"/>
      <c r="C7" s="713"/>
      <c r="D7" s="713"/>
      <c r="E7" s="713"/>
      <c r="F7" s="713"/>
      <c r="G7" s="713"/>
      <c r="H7" s="713"/>
      <c r="I7" s="713"/>
    </row>
    <row r="8" spans="1:9" x14ac:dyDescent="0.25">
      <c r="A8" s="714" t="s">
        <v>46</v>
      </c>
      <c r="B8" s="714"/>
      <c r="C8" s="714"/>
      <c r="D8" s="714"/>
      <c r="E8" s="714"/>
      <c r="F8" s="714"/>
      <c r="G8" s="714"/>
      <c r="H8" s="714"/>
      <c r="I8" s="714"/>
    </row>
    <row r="9" spans="1:9" x14ac:dyDescent="0.25">
      <c r="A9" s="714"/>
      <c r="B9" s="714"/>
      <c r="C9" s="714"/>
      <c r="D9" s="714"/>
      <c r="E9" s="714"/>
      <c r="F9" s="714"/>
      <c r="G9" s="714"/>
      <c r="H9" s="714"/>
      <c r="I9" s="714"/>
    </row>
    <row r="10" spans="1:9" x14ac:dyDescent="0.25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 x14ac:dyDescent="0.25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 x14ac:dyDescent="0.25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 x14ac:dyDescent="0.25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 x14ac:dyDescent="0.25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x14ac:dyDescent="0.3">
      <c r="A15" s="50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52" t="s">
        <v>33</v>
      </c>
      <c r="B18" s="745" t="s">
        <v>5</v>
      </c>
      <c r="C18" s="745"/>
      <c r="D18" s="195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50" t="s">
        <v>9</v>
      </c>
      <c r="C20" s="75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5" t="s">
        <v>135</v>
      </c>
      <c r="C26" s="745"/>
    </row>
    <row r="27" spans="1:14" ht="26.25" customHeight="1" x14ac:dyDescent="0.4">
      <c r="A27" s="61" t="s">
        <v>48</v>
      </c>
      <c r="B27" s="751" t="s">
        <v>141</v>
      </c>
      <c r="C27" s="751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721" t="s">
        <v>50</v>
      </c>
      <c r="D29" s="722"/>
      <c r="E29" s="722"/>
      <c r="F29" s="722"/>
      <c r="G29" s="72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24" t="s">
        <v>53</v>
      </c>
      <c r="D31" s="725"/>
      <c r="E31" s="725"/>
      <c r="F31" s="725"/>
      <c r="G31" s="725"/>
      <c r="H31" s="72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24" t="s">
        <v>55</v>
      </c>
      <c r="D32" s="725"/>
      <c r="E32" s="725"/>
      <c r="F32" s="725"/>
      <c r="G32" s="725"/>
      <c r="H32" s="72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727" t="s">
        <v>59</v>
      </c>
      <c r="E36" s="752"/>
      <c r="F36" s="727" t="s">
        <v>60</v>
      </c>
      <c r="G36" s="72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694">
        <v>86973335</v>
      </c>
      <c r="E38" s="84">
        <f>IF(ISBLANK(D38),"-",$D$48/$D$45*D38)</f>
        <v>73602050.48786886</v>
      </c>
      <c r="F38" s="694">
        <v>73753629</v>
      </c>
      <c r="G38" s="85">
        <f>IF(ISBLANK(F38),"-",$D$48/$F$45*F38)</f>
        <v>75532417.430488005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695">
        <v>86930636</v>
      </c>
      <c r="E39" s="89">
        <f>IF(ISBLANK(D39),"-",$D$48/$D$45*D39)</f>
        <v>73565916.034087345</v>
      </c>
      <c r="F39" s="695">
        <v>74147100</v>
      </c>
      <c r="G39" s="90">
        <f>IF(ISBLANK(F39),"-",$D$48/$F$45*F39)</f>
        <v>75935378.155563533</v>
      </c>
      <c r="I39" s="729">
        <f>ABS((F43/D43*D42)-F42)/D42</f>
        <v>2.4615191636853367E-2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695">
        <v>86924071</v>
      </c>
      <c r="E40" s="89">
        <f>IF(ISBLANK(D40),"-",$D$48/$D$45*D40)</f>
        <v>73560360.337488472</v>
      </c>
      <c r="F40" s="695">
        <v>74049778</v>
      </c>
      <c r="G40" s="90">
        <f>IF(ISBLANK(F40),"-",$D$48/$F$45*F40)</f>
        <v>75835708.945670545</v>
      </c>
      <c r="I40" s="729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696"/>
      <c r="E41" s="93" t="str">
        <f>IF(ISBLANK(D41),"-",$D$48/$D$45*D41)</f>
        <v>-</v>
      </c>
      <c r="F41" s="696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6" t="s">
        <v>71</v>
      </c>
      <c r="D42" s="97">
        <f>AVERAGE(D38:D41)</f>
        <v>86942680.666666672</v>
      </c>
      <c r="E42" s="98">
        <f>AVERAGE(E38:E41)</f>
        <v>73576108.953148231</v>
      </c>
      <c r="F42" s="97">
        <f>AVERAGE(F38:F41)</f>
        <v>73983502.333333328</v>
      </c>
      <c r="G42" s="99">
        <f>AVERAGE(G38:G41)</f>
        <v>75767834.843907356</v>
      </c>
      <c r="H42" s="100"/>
    </row>
    <row r="43" spans="1:14" ht="26.25" customHeight="1" x14ac:dyDescent="0.4">
      <c r="A43" s="76" t="s">
        <v>72</v>
      </c>
      <c r="B43" s="77">
        <v>1</v>
      </c>
      <c r="C43" s="101" t="s">
        <v>73</v>
      </c>
      <c r="D43" s="102">
        <v>17.850000000000001</v>
      </c>
      <c r="E43" s="91"/>
      <c r="F43" s="102">
        <v>14.75</v>
      </c>
      <c r="H43" s="100"/>
    </row>
    <row r="44" spans="1:14" ht="26.25" customHeight="1" x14ac:dyDescent="0.4">
      <c r="A44" s="76" t="s">
        <v>74</v>
      </c>
      <c r="B44" s="77">
        <v>1</v>
      </c>
      <c r="C44" s="103" t="s">
        <v>75</v>
      </c>
      <c r="D44" s="104">
        <f>D43*$B$34</f>
        <v>17.850000000000001</v>
      </c>
      <c r="E44" s="105"/>
      <c r="F44" s="104">
        <f>F43*$B$34</f>
        <v>14.75</v>
      </c>
      <c r="H44" s="100"/>
    </row>
    <row r="45" spans="1:14" ht="19.5" customHeight="1" x14ac:dyDescent="0.3">
      <c r="A45" s="76" t="s">
        <v>76</v>
      </c>
      <c r="B45" s="106">
        <f>(B44/B43)*(B42/B41)*(B40/B39)*(B38/B37)*B36</f>
        <v>125</v>
      </c>
      <c r="C45" s="103" t="s">
        <v>77</v>
      </c>
      <c r="D45" s="107">
        <f>D44*$B$30/100</f>
        <v>17.72505</v>
      </c>
      <c r="E45" s="108"/>
      <c r="F45" s="107">
        <f>F44*$B$30/100</f>
        <v>14.646749999999999</v>
      </c>
      <c r="H45" s="100"/>
    </row>
    <row r="46" spans="1:14" ht="19.5" customHeight="1" x14ac:dyDescent="0.3">
      <c r="A46" s="715" t="s">
        <v>78</v>
      </c>
      <c r="B46" s="716"/>
      <c r="C46" s="103" t="s">
        <v>79</v>
      </c>
      <c r="D46" s="109">
        <f>D45/$B$45</f>
        <v>0.14180039999999999</v>
      </c>
      <c r="E46" s="110"/>
      <c r="F46" s="111">
        <f>F45/$B$45</f>
        <v>0.11717399999999999</v>
      </c>
      <c r="H46" s="100"/>
    </row>
    <row r="47" spans="1:14" ht="27" customHeight="1" x14ac:dyDescent="0.4">
      <c r="A47" s="717"/>
      <c r="B47" s="718"/>
      <c r="C47" s="112" t="s">
        <v>80</v>
      </c>
      <c r="D47" s="113">
        <v>0.12</v>
      </c>
      <c r="E47" s="114"/>
      <c r="F47" s="110"/>
      <c r="H47" s="100"/>
    </row>
    <row r="48" spans="1:14" ht="18.75" x14ac:dyDescent="0.3">
      <c r="C48" s="115" t="s">
        <v>81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82</v>
      </c>
      <c r="D49" s="118">
        <f>D48/B34</f>
        <v>15</v>
      </c>
      <c r="F49" s="116"/>
      <c r="H49" s="100"/>
    </row>
    <row r="50" spans="1:12" ht="18.75" x14ac:dyDescent="0.3">
      <c r="C50" s="74" t="s">
        <v>83</v>
      </c>
      <c r="D50" s="119">
        <f>AVERAGE(E38:E41,G38:G41)</f>
        <v>74671971.898527786</v>
      </c>
      <c r="F50" s="120"/>
      <c r="H50" s="100"/>
    </row>
    <row r="51" spans="1:12" ht="18.75" x14ac:dyDescent="0.3">
      <c r="C51" s="76" t="s">
        <v>84</v>
      </c>
      <c r="D51" s="121">
        <f>STDEV(E38:E41,G38:G41)/D50</f>
        <v>1.6175534440239066E-2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85</v>
      </c>
    </row>
    <row r="55" spans="1:12" ht="18.75" x14ac:dyDescent="0.3">
      <c r="A55" s="51" t="s">
        <v>86</v>
      </c>
      <c r="B55" s="12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7" t="s">
        <v>87</v>
      </c>
      <c r="B56" s="128">
        <v>300</v>
      </c>
      <c r="C56" s="51" t="str">
        <f>B20</f>
        <v>Efavirenz 600mg, Lamivudine 300mg and Tenofovir Disoproxil Fumarate 300mg Tablets</v>
      </c>
      <c r="H56" s="129"/>
    </row>
    <row r="57" spans="1:12" ht="18.75" x14ac:dyDescent="0.3">
      <c r="A57" s="126" t="s">
        <v>88</v>
      </c>
      <c r="B57" s="196">
        <f>Uniformity!C46</f>
        <v>1763.6875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89</v>
      </c>
      <c r="B59" s="75">
        <v>200</v>
      </c>
      <c r="C59" s="51"/>
      <c r="D59" s="130" t="s">
        <v>90</v>
      </c>
      <c r="E59" s="131" t="s">
        <v>62</v>
      </c>
      <c r="F59" s="131" t="s">
        <v>63</v>
      </c>
      <c r="G59" s="131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732" t="s">
        <v>94</v>
      </c>
      <c r="D60" s="735">
        <v>1768.58</v>
      </c>
      <c r="E60" s="132">
        <v>1</v>
      </c>
      <c r="F60" s="133">
        <v>71700148</v>
      </c>
      <c r="G60" s="197">
        <f>IF(ISBLANK(F60),"-",(F60/$D$50*$D$47*$B$68)*($B$57/$D$60))</f>
        <v>287.26361016755857</v>
      </c>
      <c r="H60" s="215">
        <f t="shared" ref="H60:H71" si="0">IF(ISBLANK(F60),"-",(G60/$B$56)*100)</f>
        <v>95.754536722519518</v>
      </c>
      <c r="L60" s="64"/>
    </row>
    <row r="61" spans="1:12" s="3" customFormat="1" ht="26.25" customHeight="1" x14ac:dyDescent="0.4">
      <c r="A61" s="76" t="s">
        <v>95</v>
      </c>
      <c r="B61" s="77">
        <v>25</v>
      </c>
      <c r="C61" s="733"/>
      <c r="D61" s="736"/>
      <c r="E61" s="134">
        <v>2</v>
      </c>
      <c r="F61" s="88">
        <v>71554309</v>
      </c>
      <c r="G61" s="198">
        <f>IF(ISBLANK(F61),"-",(F61/$D$50*$D$47*$B$68)*($B$57/$D$60))</f>
        <v>286.67931238280045</v>
      </c>
      <c r="H61" s="216">
        <f t="shared" si="0"/>
        <v>95.559770794266825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33"/>
      <c r="D62" s="736"/>
      <c r="E62" s="134">
        <v>3</v>
      </c>
      <c r="F62" s="135"/>
      <c r="G62" s="198" t="str">
        <f>IF(ISBLANK(F62),"-",(F62/$D$50*$D$47*$B$68)*($B$57/$D$60))</f>
        <v>-</v>
      </c>
      <c r="H62" s="216" t="str">
        <f t="shared" si="0"/>
        <v>-</v>
      </c>
      <c r="L62" s="64"/>
    </row>
    <row r="63" spans="1:12" ht="27" customHeight="1" x14ac:dyDescent="0.4">
      <c r="A63" s="76" t="s">
        <v>97</v>
      </c>
      <c r="B63" s="77">
        <v>1</v>
      </c>
      <c r="C63" s="742"/>
      <c r="D63" s="737"/>
      <c r="E63" s="136">
        <v>4</v>
      </c>
      <c r="F63" s="137"/>
      <c r="G63" s="198" t="str">
        <f>IF(ISBLANK(F63),"-",(F63/$D$50*$D$47*$B$68)*($B$57/$D$60))</f>
        <v>-</v>
      </c>
      <c r="H63" s="21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32" t="s">
        <v>99</v>
      </c>
      <c r="D64" s="735">
        <v>1768.54</v>
      </c>
      <c r="E64" s="132">
        <v>1</v>
      </c>
      <c r="F64" s="133">
        <v>74030018</v>
      </c>
      <c r="G64" s="197">
        <f>IF(ISBLANK(F64),"-",(F64/$D$50*$D$47*$B$68)*($B$57/$D$64))</f>
        <v>296.60484408915869</v>
      </c>
      <c r="H64" s="215">
        <f t="shared" si="0"/>
        <v>98.868281363052901</v>
      </c>
    </row>
    <row r="65" spans="1:8" ht="26.25" customHeight="1" x14ac:dyDescent="0.4">
      <c r="A65" s="76" t="s">
        <v>100</v>
      </c>
      <c r="B65" s="77">
        <v>1</v>
      </c>
      <c r="C65" s="733"/>
      <c r="D65" s="736"/>
      <c r="E65" s="134">
        <v>2</v>
      </c>
      <c r="F65" s="88">
        <v>74967596</v>
      </c>
      <c r="G65" s="198">
        <f>IF(ISBLANK(F65),"-",(F65/$D$50*$D$47*$B$68)*($B$57/$D$64))</f>
        <v>300.36129564792265</v>
      </c>
      <c r="H65" s="216">
        <f t="shared" si="0"/>
        <v>100.12043188264089</v>
      </c>
    </row>
    <row r="66" spans="1:8" ht="26.25" customHeight="1" x14ac:dyDescent="0.4">
      <c r="A66" s="76" t="s">
        <v>101</v>
      </c>
      <c r="B66" s="77">
        <v>1</v>
      </c>
      <c r="C66" s="733"/>
      <c r="D66" s="736"/>
      <c r="E66" s="134">
        <v>3</v>
      </c>
      <c r="F66" s="88">
        <v>74111004</v>
      </c>
      <c r="G66" s="198">
        <f>IF(ISBLANK(F66),"-",(F66/$D$50*$D$47*$B$68)*($B$57/$D$64))</f>
        <v>296.92931841122896</v>
      </c>
      <c r="H66" s="216">
        <f t="shared" si="0"/>
        <v>98.976439470409645</v>
      </c>
    </row>
    <row r="67" spans="1:8" ht="27" customHeight="1" x14ac:dyDescent="0.4">
      <c r="A67" s="76" t="s">
        <v>102</v>
      </c>
      <c r="B67" s="77">
        <v>1</v>
      </c>
      <c r="C67" s="742"/>
      <c r="D67" s="737"/>
      <c r="E67" s="136">
        <v>4</v>
      </c>
      <c r="F67" s="137"/>
      <c r="G67" s="214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4">
      <c r="A68" s="76" t="s">
        <v>103</v>
      </c>
      <c r="B68" s="138">
        <f>(B67/B66)*(B65/B64)*(B63/B62)*(B61/B60)*B59</f>
        <v>2500</v>
      </c>
      <c r="C68" s="732" t="s">
        <v>104</v>
      </c>
      <c r="D68" s="735">
        <v>1770.89</v>
      </c>
      <c r="E68" s="132">
        <v>1</v>
      </c>
      <c r="F68" s="133">
        <v>73609056</v>
      </c>
      <c r="G68" s="197">
        <f>IF(ISBLANK(F68),"-",(F68/$D$50*$D$47*$B$68)*($B$57/$D$68))</f>
        <v>294.52687816779434</v>
      </c>
      <c r="H68" s="216">
        <f t="shared" si="0"/>
        <v>98.175626055931446</v>
      </c>
    </row>
    <row r="69" spans="1:8" ht="27" customHeight="1" x14ac:dyDescent="0.4">
      <c r="A69" s="122" t="s">
        <v>105</v>
      </c>
      <c r="B69" s="139">
        <f>(D47*B68)/B56*B57</f>
        <v>1763.6875</v>
      </c>
      <c r="C69" s="733"/>
      <c r="D69" s="736"/>
      <c r="E69" s="134">
        <v>2</v>
      </c>
      <c r="F69" s="88">
        <v>74610325</v>
      </c>
      <c r="G69" s="198">
        <f>IF(ISBLANK(F69),"-",(F69/$D$50*$D$47*$B$68)*($B$57/$D$68))</f>
        <v>298.53318729334796</v>
      </c>
      <c r="H69" s="216">
        <f t="shared" si="0"/>
        <v>99.511062431115988</v>
      </c>
    </row>
    <row r="70" spans="1:8" ht="26.25" customHeight="1" x14ac:dyDescent="0.4">
      <c r="A70" s="738" t="s">
        <v>78</v>
      </c>
      <c r="B70" s="739"/>
      <c r="C70" s="733"/>
      <c r="D70" s="736"/>
      <c r="E70" s="134">
        <v>3</v>
      </c>
      <c r="F70" s="88">
        <v>75156028</v>
      </c>
      <c r="G70" s="198">
        <f>IF(ISBLANK(F70),"-",(F70/$D$50*$D$47*$B$68)*($B$57/$D$68))</f>
        <v>300.71667136080839</v>
      </c>
      <c r="H70" s="216">
        <f t="shared" si="0"/>
        <v>100.23889045360279</v>
      </c>
    </row>
    <row r="71" spans="1:8" ht="27" customHeight="1" x14ac:dyDescent="0.4">
      <c r="A71" s="740"/>
      <c r="B71" s="741"/>
      <c r="C71" s="734"/>
      <c r="D71" s="737"/>
      <c r="E71" s="136">
        <v>4</v>
      </c>
      <c r="F71" s="137"/>
      <c r="G71" s="214" t="str">
        <f>IF(ISBLANK(F71),"-",(F71/$D$50*$D$47*$B$68)*($B$57/$D$68))</f>
        <v>-</v>
      </c>
      <c r="H71" s="217" t="str">
        <f t="shared" si="0"/>
        <v>-</v>
      </c>
    </row>
    <row r="72" spans="1:8" ht="26.25" customHeight="1" x14ac:dyDescent="0.4">
      <c r="A72" s="140"/>
      <c r="B72" s="140"/>
      <c r="C72" s="140"/>
      <c r="D72" s="140"/>
      <c r="E72" s="140"/>
      <c r="F72" s="142" t="s">
        <v>71</v>
      </c>
      <c r="G72" s="203">
        <f>AVERAGE(G60:G71)</f>
        <v>295.20188969007751</v>
      </c>
      <c r="H72" s="218">
        <f>AVERAGE(H60:H71)</f>
        <v>98.400629896692521</v>
      </c>
    </row>
    <row r="73" spans="1:8" ht="26.25" customHeight="1" x14ac:dyDescent="0.4">
      <c r="C73" s="140"/>
      <c r="D73" s="140"/>
      <c r="E73" s="140"/>
      <c r="F73" s="143" t="s">
        <v>84</v>
      </c>
      <c r="G73" s="202">
        <f>STDEV(G60:G71)/G72</f>
        <v>1.8518278548614472E-2</v>
      </c>
      <c r="H73" s="202">
        <f>STDEV(H60:H71)/H72</f>
        <v>1.8518278548614455E-2</v>
      </c>
    </row>
    <row r="74" spans="1:8" ht="27" customHeight="1" x14ac:dyDescent="0.4">
      <c r="A74" s="140"/>
      <c r="B74" s="140"/>
      <c r="C74" s="141"/>
      <c r="D74" s="141"/>
      <c r="E74" s="144"/>
      <c r="F74" s="145" t="s">
        <v>20</v>
      </c>
      <c r="G74" s="146">
        <f>COUNT(G60:G71)</f>
        <v>8</v>
      </c>
      <c r="H74" s="146">
        <f>COUNT(H60:H71)</f>
        <v>8</v>
      </c>
    </row>
    <row r="76" spans="1:8" ht="26.25" customHeight="1" x14ac:dyDescent="0.4">
      <c r="A76" s="60" t="s">
        <v>106</v>
      </c>
      <c r="B76" s="147" t="s">
        <v>107</v>
      </c>
      <c r="C76" s="719" t="str">
        <f>B26</f>
        <v>Lamivudine</v>
      </c>
      <c r="D76" s="719"/>
      <c r="E76" s="148" t="s">
        <v>108</v>
      </c>
      <c r="F76" s="148"/>
      <c r="G76" s="149">
        <f>H72</f>
        <v>98.400629896692521</v>
      </c>
      <c r="H76" s="150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53" t="str">
        <f>B26</f>
        <v>Lamivudine</v>
      </c>
      <c r="C79" s="753"/>
    </row>
    <row r="80" spans="1:8" ht="26.25" customHeight="1" x14ac:dyDescent="0.4">
      <c r="A80" s="61" t="s">
        <v>48</v>
      </c>
      <c r="B80" s="753" t="str">
        <f>B27</f>
        <v>10M388</v>
      </c>
      <c r="C80" s="753"/>
    </row>
    <row r="81" spans="1:12" ht="27" customHeight="1" x14ac:dyDescent="0.4">
      <c r="A81" s="61" t="s">
        <v>6</v>
      </c>
      <c r="B81" s="151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721" t="s">
        <v>50</v>
      </c>
      <c r="D82" s="722"/>
      <c r="E82" s="722"/>
      <c r="F82" s="722"/>
      <c r="G82" s="72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24" t="s">
        <v>111</v>
      </c>
      <c r="D84" s="725"/>
      <c r="E84" s="725"/>
      <c r="F84" s="725"/>
      <c r="G84" s="725"/>
      <c r="H84" s="72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24" t="s">
        <v>112</v>
      </c>
      <c r="D85" s="725"/>
      <c r="E85" s="725"/>
      <c r="F85" s="725"/>
      <c r="G85" s="725"/>
      <c r="H85" s="72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2" t="s">
        <v>59</v>
      </c>
      <c r="E89" s="153"/>
      <c r="F89" s="727" t="s">
        <v>60</v>
      </c>
      <c r="G89" s="728"/>
    </row>
    <row r="90" spans="1:12" ht="27" customHeight="1" x14ac:dyDescent="0.4">
      <c r="A90" s="76" t="s">
        <v>61</v>
      </c>
      <c r="B90" s="77">
        <v>1</v>
      </c>
      <c r="C90" s="154" t="s">
        <v>62</v>
      </c>
      <c r="D90" s="79" t="s">
        <v>63</v>
      </c>
      <c r="E90" s="80" t="s">
        <v>64</v>
      </c>
      <c r="F90" s="79" t="s">
        <v>63</v>
      </c>
      <c r="G90" s="155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6">
        <v>1</v>
      </c>
      <c r="D91" s="697">
        <v>42655878</v>
      </c>
      <c r="E91" s="84">
        <f>IF(ISBLANK(D91),"-",$D$101/$D$98*D91)</f>
        <v>50027066.014899321</v>
      </c>
      <c r="F91" s="697">
        <v>44803635</v>
      </c>
      <c r="G91" s="85">
        <f>IF(ISBLANK(F91),"-",$D$101/$F$98*F91)</f>
        <v>49837413.069691077</v>
      </c>
      <c r="I91" s="86"/>
    </row>
    <row r="92" spans="1:12" ht="26.25" customHeight="1" x14ac:dyDescent="0.4">
      <c r="A92" s="76" t="s">
        <v>67</v>
      </c>
      <c r="B92" s="77">
        <v>1</v>
      </c>
      <c r="C92" s="141">
        <v>2</v>
      </c>
      <c r="D92" s="698">
        <v>42265757</v>
      </c>
      <c r="E92" s="89">
        <f>IF(ISBLANK(D92),"-",$D$101/$D$98*D92)</f>
        <v>49569529.798652679</v>
      </c>
      <c r="F92" s="698">
        <v>44637746</v>
      </c>
      <c r="G92" s="90">
        <f>IF(ISBLANK(F92),"-",$D$101/$F$98*F92)</f>
        <v>49652886.108503267</v>
      </c>
      <c r="I92" s="729">
        <f>ABS((F96/D96*D95)-F95)/D95</f>
        <v>3.7065878116987748E-4</v>
      </c>
    </row>
    <row r="93" spans="1:12" ht="26.25" customHeight="1" x14ac:dyDescent="0.4">
      <c r="A93" s="76" t="s">
        <v>68</v>
      </c>
      <c r="B93" s="77">
        <v>1</v>
      </c>
      <c r="C93" s="141">
        <v>3</v>
      </c>
      <c r="D93" s="698">
        <v>42488997</v>
      </c>
      <c r="E93" s="89">
        <f>IF(ISBLANK(D93),"-",$D$101/$D$98*D93)</f>
        <v>49831346.991049141</v>
      </c>
      <c r="F93" s="698">
        <v>44846516</v>
      </c>
      <c r="G93" s="90">
        <f>IF(ISBLANK(F93),"-",$D$101/$F$98*F93)</f>
        <v>49885111.835870236</v>
      </c>
      <c r="I93" s="729"/>
    </row>
    <row r="94" spans="1:12" ht="27" customHeight="1" x14ac:dyDescent="0.4">
      <c r="A94" s="76" t="s">
        <v>69</v>
      </c>
      <c r="B94" s="77">
        <v>1</v>
      </c>
      <c r="C94" s="157">
        <v>4</v>
      </c>
      <c r="D94" s="699"/>
      <c r="E94" s="93" t="str">
        <f>IF(ISBLANK(D94),"-",$D$101/$D$98*D94)</f>
        <v>-</v>
      </c>
      <c r="F94" s="700"/>
      <c r="G94" s="94" t="str">
        <f>IF(ISBLANK(F94),"-",$D$101/$F$98*F94)</f>
        <v>-</v>
      </c>
      <c r="I94" s="95"/>
    </row>
    <row r="95" spans="1:12" ht="27" customHeight="1" x14ac:dyDescent="0.4">
      <c r="A95" s="76" t="s">
        <v>70</v>
      </c>
      <c r="B95" s="77">
        <v>1</v>
      </c>
      <c r="C95" s="158" t="s">
        <v>71</v>
      </c>
      <c r="D95" s="159">
        <f>AVERAGE(D91:D94)</f>
        <v>42470210.666666664</v>
      </c>
      <c r="E95" s="98">
        <f>AVERAGE(E91:E94)</f>
        <v>49809314.268200375</v>
      </c>
      <c r="F95" s="160">
        <f>AVERAGE(F91:F94)</f>
        <v>44762632.333333336</v>
      </c>
      <c r="G95" s="161">
        <f>AVERAGE(G91:G94)</f>
        <v>49791803.67135486</v>
      </c>
    </row>
    <row r="96" spans="1:12" ht="26.25" customHeight="1" x14ac:dyDescent="0.4">
      <c r="A96" s="76" t="s">
        <v>72</v>
      </c>
      <c r="B96" s="62">
        <v>1</v>
      </c>
      <c r="C96" s="162" t="s">
        <v>113</v>
      </c>
      <c r="D96" s="163">
        <v>12.88</v>
      </c>
      <c r="E96" s="91"/>
      <c r="F96" s="102">
        <v>13.58</v>
      </c>
    </row>
    <row r="97" spans="1:10" ht="26.25" customHeight="1" x14ac:dyDescent="0.4">
      <c r="A97" s="76" t="s">
        <v>74</v>
      </c>
      <c r="B97" s="62">
        <v>1</v>
      </c>
      <c r="C97" s="164" t="s">
        <v>114</v>
      </c>
      <c r="D97" s="165">
        <f>D96*$B$87</f>
        <v>12.88</v>
      </c>
      <c r="E97" s="105"/>
      <c r="F97" s="104">
        <f>F96*$B$87</f>
        <v>13.58</v>
      </c>
    </row>
    <row r="98" spans="1:10" ht="19.5" customHeight="1" x14ac:dyDescent="0.3">
      <c r="A98" s="76" t="s">
        <v>76</v>
      </c>
      <c r="B98" s="166">
        <f>(B97/B96)*(B95/B94)*(B93/B92)*(B91/B90)*B89</f>
        <v>50</v>
      </c>
      <c r="C98" s="164" t="s">
        <v>115</v>
      </c>
      <c r="D98" s="167">
        <f>D97*$B$83/100</f>
        <v>12.789840000000002</v>
      </c>
      <c r="E98" s="108"/>
      <c r="F98" s="107">
        <f>F97*$B$83/100</f>
        <v>13.48494</v>
      </c>
    </row>
    <row r="99" spans="1:10" ht="19.5" customHeight="1" x14ac:dyDescent="0.3">
      <c r="A99" s="715" t="s">
        <v>78</v>
      </c>
      <c r="B99" s="730"/>
      <c r="C99" s="164" t="s">
        <v>116</v>
      </c>
      <c r="D99" s="168">
        <f>D98/$B$98</f>
        <v>0.25579680000000005</v>
      </c>
      <c r="E99" s="108"/>
      <c r="F99" s="111">
        <f>F98/$B$98</f>
        <v>0.26969880000000002</v>
      </c>
      <c r="G99" s="169"/>
      <c r="H99" s="100"/>
    </row>
    <row r="100" spans="1:10" ht="19.5" customHeight="1" x14ac:dyDescent="0.3">
      <c r="A100" s="717"/>
      <c r="B100" s="731"/>
      <c r="C100" s="164" t="s">
        <v>80</v>
      </c>
      <c r="D100" s="170">
        <f>$B$56/$B$116</f>
        <v>0.3</v>
      </c>
      <c r="F100" s="116"/>
      <c r="G100" s="171"/>
      <c r="H100" s="100"/>
    </row>
    <row r="101" spans="1:10" ht="18.75" x14ac:dyDescent="0.3">
      <c r="C101" s="164" t="s">
        <v>81</v>
      </c>
      <c r="D101" s="165">
        <f>D100*$B$98</f>
        <v>15</v>
      </c>
      <c r="F101" s="116"/>
      <c r="G101" s="169"/>
      <c r="H101" s="100"/>
    </row>
    <row r="102" spans="1:10" ht="19.5" customHeight="1" x14ac:dyDescent="0.3">
      <c r="C102" s="172" t="s">
        <v>82</v>
      </c>
      <c r="D102" s="173">
        <f>D101/B34</f>
        <v>15</v>
      </c>
      <c r="F102" s="120"/>
      <c r="G102" s="169"/>
      <c r="H102" s="100"/>
      <c r="J102" s="174"/>
    </row>
    <row r="103" spans="1:10" ht="18.75" x14ac:dyDescent="0.3">
      <c r="C103" s="175" t="s">
        <v>117</v>
      </c>
      <c r="D103" s="176">
        <f>AVERAGE(E91:E94,G91:G94)</f>
        <v>49800558.969777621</v>
      </c>
      <c r="F103" s="120"/>
      <c r="G103" s="177"/>
      <c r="H103" s="100"/>
      <c r="J103" s="178"/>
    </row>
    <row r="104" spans="1:10" ht="18.75" x14ac:dyDescent="0.3">
      <c r="C104" s="143" t="s">
        <v>84</v>
      </c>
      <c r="D104" s="179">
        <f>STDEV(E91:E94,G91:G94)/D103</f>
        <v>3.3109941891347082E-3</v>
      </c>
      <c r="F104" s="120"/>
      <c r="G104" s="169"/>
      <c r="H104" s="100"/>
      <c r="J104" s="178"/>
    </row>
    <row r="105" spans="1:10" ht="19.5" customHeight="1" x14ac:dyDescent="0.3">
      <c r="C105" s="145" t="s">
        <v>20</v>
      </c>
      <c r="D105" s="180">
        <f>COUNT(E91:E94,G91:G94)</f>
        <v>6</v>
      </c>
      <c r="F105" s="120"/>
      <c r="G105" s="169"/>
      <c r="H105" s="100"/>
      <c r="J105" s="178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7" customHeight="1" x14ac:dyDescent="0.4">
      <c r="A107" s="74" t="s">
        <v>118</v>
      </c>
      <c r="B107" s="75">
        <v>1000</v>
      </c>
      <c r="C107" s="219" t="s">
        <v>119</v>
      </c>
      <c r="D107" s="219" t="s">
        <v>63</v>
      </c>
      <c r="E107" s="219" t="s">
        <v>120</v>
      </c>
      <c r="F107" s="181" t="s">
        <v>121</v>
      </c>
    </row>
    <row r="108" spans="1:10" ht="26.25" customHeight="1" x14ac:dyDescent="0.4">
      <c r="A108" s="76" t="s">
        <v>122</v>
      </c>
      <c r="B108" s="77">
        <v>1</v>
      </c>
      <c r="C108" s="224">
        <v>1</v>
      </c>
      <c r="D108" s="225">
        <v>44489603</v>
      </c>
      <c r="E108" s="199">
        <f t="shared" ref="E108:E113" si="1">IF(ISBLANK(D108),"-",D108/$D$103*$D$100*$B$116)</f>
        <v>268.00664844143211</v>
      </c>
      <c r="F108" s="226">
        <f t="shared" ref="F108:F113" si="2">IF(ISBLANK(D108), "-", (E108/$B$56)*100)</f>
        <v>89.335549480477368</v>
      </c>
    </row>
    <row r="109" spans="1:10" ht="26.25" customHeight="1" x14ac:dyDescent="0.4">
      <c r="A109" s="76" t="s">
        <v>95</v>
      </c>
      <c r="B109" s="77">
        <v>1</v>
      </c>
      <c r="C109" s="220">
        <v>2</v>
      </c>
      <c r="D109" s="222">
        <v>44464692</v>
      </c>
      <c r="E109" s="200">
        <f t="shared" si="1"/>
        <v>267.85658386074067</v>
      </c>
      <c r="F109" s="227">
        <f t="shared" si="2"/>
        <v>89.285527953580228</v>
      </c>
    </row>
    <row r="110" spans="1:10" ht="26.25" customHeight="1" x14ac:dyDescent="0.4">
      <c r="A110" s="76" t="s">
        <v>96</v>
      </c>
      <c r="B110" s="77">
        <v>1</v>
      </c>
      <c r="C110" s="220">
        <v>3</v>
      </c>
      <c r="D110" s="222">
        <v>44354410</v>
      </c>
      <c r="E110" s="200">
        <f t="shared" si="1"/>
        <v>267.19224191991867</v>
      </c>
      <c r="F110" s="227">
        <f t="shared" si="2"/>
        <v>89.064080639972886</v>
      </c>
    </row>
    <row r="111" spans="1:10" ht="26.25" customHeight="1" x14ac:dyDescent="0.4">
      <c r="A111" s="76" t="s">
        <v>97</v>
      </c>
      <c r="B111" s="77">
        <v>1</v>
      </c>
      <c r="C111" s="220">
        <v>4</v>
      </c>
      <c r="D111" s="222">
        <v>44137839</v>
      </c>
      <c r="E111" s="200">
        <f t="shared" si="1"/>
        <v>265.88761198515368</v>
      </c>
      <c r="F111" s="227">
        <f t="shared" si="2"/>
        <v>88.629203995051228</v>
      </c>
    </row>
    <row r="112" spans="1:10" ht="26.25" customHeight="1" x14ac:dyDescent="0.4">
      <c r="A112" s="76" t="s">
        <v>98</v>
      </c>
      <c r="B112" s="77">
        <v>1</v>
      </c>
      <c r="C112" s="220">
        <v>5</v>
      </c>
      <c r="D112" s="222">
        <v>44007560</v>
      </c>
      <c r="E112" s="200">
        <f t="shared" si="1"/>
        <v>265.10280754101649</v>
      </c>
      <c r="F112" s="227">
        <f t="shared" si="2"/>
        <v>88.367602513672168</v>
      </c>
    </row>
    <row r="113" spans="1:10" ht="27" customHeight="1" x14ac:dyDescent="0.4">
      <c r="A113" s="76" t="s">
        <v>100</v>
      </c>
      <c r="B113" s="77">
        <v>1</v>
      </c>
      <c r="C113" s="221">
        <v>6</v>
      </c>
      <c r="D113" s="223">
        <v>44235276</v>
      </c>
      <c r="E113" s="201">
        <f t="shared" si="1"/>
        <v>266.47457527642399</v>
      </c>
      <c r="F113" s="228">
        <f t="shared" si="2"/>
        <v>88.824858425474659</v>
      </c>
    </row>
    <row r="114" spans="1:10" ht="27" customHeight="1" x14ac:dyDescent="0.4">
      <c r="A114" s="76" t="s">
        <v>101</v>
      </c>
      <c r="B114" s="77">
        <v>1</v>
      </c>
      <c r="C114" s="182"/>
      <c r="D114" s="141"/>
      <c r="E114" s="50"/>
      <c r="F114" s="229"/>
    </row>
    <row r="115" spans="1:10" ht="26.25" customHeight="1" x14ac:dyDescent="0.4">
      <c r="A115" s="76" t="s">
        <v>102</v>
      </c>
      <c r="B115" s="77">
        <v>1</v>
      </c>
      <c r="C115" s="182"/>
      <c r="D115" s="206" t="s">
        <v>71</v>
      </c>
      <c r="E115" s="208">
        <f>AVERAGE(E108:E113)</f>
        <v>266.75341150411424</v>
      </c>
      <c r="F115" s="230">
        <f>AVERAGE(F108:F113)</f>
        <v>88.91780383470477</v>
      </c>
    </row>
    <row r="116" spans="1:10" ht="27" customHeight="1" x14ac:dyDescent="0.4">
      <c r="A116" s="76" t="s">
        <v>103</v>
      </c>
      <c r="B116" s="106">
        <f>(B115/B114)*(B113/B112)*(B111/B110)*(B109/B108)*B107</f>
        <v>1000</v>
      </c>
      <c r="C116" s="183"/>
      <c r="D116" s="207" t="s">
        <v>84</v>
      </c>
      <c r="E116" s="205">
        <f>STDEV(E108:E113)/E115</f>
        <v>4.284781089450857E-3</v>
      </c>
      <c r="F116" s="184">
        <f>STDEV(F108:F113)/F115</f>
        <v>4.2847810894508492E-3</v>
      </c>
      <c r="I116" s="50"/>
    </row>
    <row r="117" spans="1:10" ht="27" customHeight="1" x14ac:dyDescent="0.4">
      <c r="A117" s="715" t="s">
        <v>78</v>
      </c>
      <c r="B117" s="716"/>
      <c r="C117" s="185"/>
      <c r="D117" s="145" t="s">
        <v>20</v>
      </c>
      <c r="E117" s="210">
        <f>COUNT(E108:E113)</f>
        <v>6</v>
      </c>
      <c r="F117" s="211">
        <f>COUNT(F108:F113)</f>
        <v>6</v>
      </c>
      <c r="I117" s="50"/>
      <c r="J117" s="178"/>
    </row>
    <row r="118" spans="1:10" ht="26.25" customHeight="1" x14ac:dyDescent="0.3">
      <c r="A118" s="717"/>
      <c r="B118" s="718"/>
      <c r="C118" s="50"/>
      <c r="D118" s="209"/>
      <c r="E118" s="743" t="s">
        <v>123</v>
      </c>
      <c r="F118" s="744"/>
      <c r="G118" s="50"/>
      <c r="H118" s="50"/>
      <c r="I118" s="50"/>
    </row>
    <row r="119" spans="1:10" ht="25.5" customHeight="1" x14ac:dyDescent="0.4">
      <c r="A119" s="194"/>
      <c r="B119" s="72"/>
      <c r="C119" s="50"/>
      <c r="D119" s="207" t="s">
        <v>124</v>
      </c>
      <c r="E119" s="212">
        <f>MIN(E108:E113)</f>
        <v>265.10280754101649</v>
      </c>
      <c r="F119" s="231">
        <f>MIN(F108:F113)</f>
        <v>88.367602513672168</v>
      </c>
      <c r="G119" s="50"/>
      <c r="H119" s="50"/>
      <c r="I119" s="50"/>
    </row>
    <row r="120" spans="1:10" ht="24" customHeight="1" x14ac:dyDescent="0.4">
      <c r="A120" s="194"/>
      <c r="B120" s="72"/>
      <c r="C120" s="50"/>
      <c r="D120" s="117" t="s">
        <v>125</v>
      </c>
      <c r="E120" s="213">
        <f>MAX(E108:E113)</f>
        <v>268.00664844143211</v>
      </c>
      <c r="F120" s="232">
        <f>MAX(F108:F113)</f>
        <v>89.335549480477368</v>
      </c>
      <c r="G120" s="50"/>
      <c r="H120" s="50"/>
      <c r="I120" s="50"/>
    </row>
    <row r="121" spans="1:10" ht="27" customHeight="1" x14ac:dyDescent="0.3">
      <c r="A121" s="194"/>
      <c r="B121" s="72"/>
      <c r="C121" s="50"/>
      <c r="D121" s="50"/>
      <c r="E121" s="50"/>
      <c r="F121" s="141"/>
      <c r="G121" s="50"/>
      <c r="H121" s="50"/>
      <c r="I121" s="50"/>
    </row>
    <row r="122" spans="1:10" ht="25.5" customHeight="1" x14ac:dyDescent="0.3">
      <c r="A122" s="194"/>
      <c r="B122" s="72"/>
      <c r="C122" s="50"/>
      <c r="D122" s="50"/>
      <c r="E122" s="50"/>
      <c r="F122" s="141"/>
      <c r="G122" s="50"/>
      <c r="H122" s="50"/>
      <c r="I122" s="50"/>
    </row>
    <row r="123" spans="1:10" ht="18.75" x14ac:dyDescent="0.3">
      <c r="A123" s="194"/>
      <c r="B123" s="72"/>
      <c r="C123" s="50"/>
      <c r="D123" s="50"/>
      <c r="E123" s="50"/>
      <c r="F123" s="141"/>
      <c r="G123" s="50"/>
      <c r="H123" s="50"/>
      <c r="I123" s="50"/>
    </row>
    <row r="124" spans="1:10" ht="45.75" customHeight="1" x14ac:dyDescent="0.65">
      <c r="A124" s="60" t="s">
        <v>106</v>
      </c>
      <c r="B124" s="147" t="s">
        <v>126</v>
      </c>
      <c r="C124" s="719" t="str">
        <f>B26</f>
        <v>Lamivudine</v>
      </c>
      <c r="D124" s="719"/>
      <c r="E124" s="148" t="s">
        <v>127</v>
      </c>
      <c r="F124" s="148"/>
      <c r="G124" s="233">
        <f>F115</f>
        <v>88.91780383470477</v>
      </c>
      <c r="H124" s="50"/>
      <c r="I124" s="50"/>
    </row>
    <row r="125" spans="1:10" ht="45.75" customHeight="1" x14ac:dyDescent="0.65">
      <c r="A125" s="60"/>
      <c r="B125" s="147" t="s">
        <v>128</v>
      </c>
      <c r="C125" s="61" t="s">
        <v>129</v>
      </c>
      <c r="D125" s="233">
        <f>MIN(F108:F113)</f>
        <v>88.367602513672168</v>
      </c>
      <c r="E125" s="158" t="s">
        <v>130</v>
      </c>
      <c r="F125" s="233">
        <f>MAX(F108:F113)</f>
        <v>89.335549480477368</v>
      </c>
      <c r="G125" s="149"/>
      <c r="H125" s="50"/>
      <c r="I125" s="50"/>
    </row>
    <row r="126" spans="1:10" ht="19.5" customHeight="1" x14ac:dyDescent="0.3">
      <c r="A126" s="186"/>
      <c r="B126" s="186"/>
      <c r="C126" s="187"/>
      <c r="D126" s="187"/>
      <c r="E126" s="187"/>
      <c r="F126" s="187"/>
      <c r="G126" s="187"/>
      <c r="H126" s="187"/>
    </row>
    <row r="127" spans="1:10" ht="18.75" x14ac:dyDescent="0.3">
      <c r="B127" s="720" t="s">
        <v>26</v>
      </c>
      <c r="C127" s="720"/>
      <c r="E127" s="154" t="s">
        <v>27</v>
      </c>
      <c r="F127" s="188"/>
      <c r="G127" s="720" t="s">
        <v>28</v>
      </c>
      <c r="H127" s="720"/>
    </row>
    <row r="128" spans="1:10" ht="69.95" customHeight="1" x14ac:dyDescent="0.3">
      <c r="A128" s="189" t="s">
        <v>29</v>
      </c>
      <c r="B128" s="190"/>
      <c r="C128" s="190"/>
      <c r="E128" s="190"/>
      <c r="F128" s="50"/>
      <c r="G128" s="191"/>
      <c r="H128" s="191"/>
    </row>
    <row r="129" spans="1:9" ht="69.95" customHeight="1" x14ac:dyDescent="0.3">
      <c r="A129" s="189" t="s">
        <v>30</v>
      </c>
      <c r="B129" s="192"/>
      <c r="C129" s="192"/>
      <c r="E129" s="192"/>
      <c r="F129" s="50"/>
      <c r="G129" s="193"/>
      <c r="H129" s="193"/>
    </row>
    <row r="130" spans="1:9" ht="18.75" x14ac:dyDescent="0.3">
      <c r="A130" s="140"/>
      <c r="B130" s="140"/>
      <c r="C130" s="141"/>
      <c r="D130" s="141"/>
      <c r="E130" s="141"/>
      <c r="F130" s="144"/>
      <c r="G130" s="141"/>
      <c r="H130" s="141"/>
      <c r="I130" s="50"/>
    </row>
    <row r="131" spans="1:9" ht="18.75" x14ac:dyDescent="0.3">
      <c r="A131" s="140"/>
      <c r="B131" s="140"/>
      <c r="C131" s="141"/>
      <c r="D131" s="141"/>
      <c r="E131" s="141"/>
      <c r="F131" s="144"/>
      <c r="G131" s="141"/>
      <c r="H131" s="141"/>
      <c r="I131" s="50"/>
    </row>
    <row r="132" spans="1:9" ht="18.75" x14ac:dyDescent="0.3">
      <c r="A132" s="140"/>
      <c r="B132" s="140"/>
      <c r="C132" s="141"/>
      <c r="D132" s="141"/>
      <c r="E132" s="141"/>
      <c r="F132" s="144"/>
      <c r="G132" s="141"/>
      <c r="H132" s="141"/>
      <c r="I132" s="50"/>
    </row>
    <row r="133" spans="1:9" ht="18.75" x14ac:dyDescent="0.3">
      <c r="A133" s="140"/>
      <c r="B133" s="140"/>
      <c r="C133" s="141"/>
      <c r="D133" s="141"/>
      <c r="E133" s="141"/>
      <c r="F133" s="144"/>
      <c r="G133" s="141"/>
      <c r="H133" s="141"/>
      <c r="I133" s="50"/>
    </row>
    <row r="134" spans="1:9" ht="18.75" x14ac:dyDescent="0.3">
      <c r="A134" s="140"/>
      <c r="B134" s="140"/>
      <c r="C134" s="141"/>
      <c r="D134" s="141"/>
      <c r="E134" s="141"/>
      <c r="F134" s="144"/>
      <c r="G134" s="141"/>
      <c r="H134" s="141"/>
      <c r="I134" s="50"/>
    </row>
    <row r="135" spans="1:9" ht="18.75" x14ac:dyDescent="0.3">
      <c r="A135" s="140"/>
      <c r="B135" s="140"/>
      <c r="C135" s="141"/>
      <c r="D135" s="141"/>
      <c r="E135" s="141"/>
      <c r="F135" s="144"/>
      <c r="G135" s="141"/>
      <c r="H135" s="141"/>
      <c r="I135" s="50"/>
    </row>
    <row r="136" spans="1:9" ht="18.75" x14ac:dyDescent="0.3">
      <c r="A136" s="140"/>
      <c r="B136" s="140"/>
      <c r="C136" s="141"/>
      <c r="D136" s="141"/>
      <c r="E136" s="141"/>
      <c r="F136" s="144"/>
      <c r="G136" s="141"/>
      <c r="H136" s="141"/>
      <c r="I136" s="50"/>
    </row>
    <row r="137" spans="1:9" ht="18.75" x14ac:dyDescent="0.3">
      <c r="A137" s="140"/>
      <c r="B137" s="140"/>
      <c r="C137" s="141"/>
      <c r="D137" s="141"/>
      <c r="E137" s="141"/>
      <c r="F137" s="144"/>
      <c r="G137" s="141"/>
      <c r="H137" s="141"/>
      <c r="I137" s="50"/>
    </row>
    <row r="138" spans="1:9" ht="18.75" x14ac:dyDescent="0.3">
      <c r="A138" s="140"/>
      <c r="B138" s="140"/>
      <c r="C138" s="141"/>
      <c r="D138" s="141"/>
      <c r="E138" s="141"/>
      <c r="F138" s="144"/>
      <c r="G138" s="141"/>
      <c r="H138" s="141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13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3" t="s">
        <v>45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 x14ac:dyDescent="0.25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 x14ac:dyDescent="0.25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 x14ac:dyDescent="0.25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 x14ac:dyDescent="0.25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 x14ac:dyDescent="0.25">
      <c r="A7" s="713"/>
      <c r="B7" s="713"/>
      <c r="C7" s="713"/>
      <c r="D7" s="713"/>
      <c r="E7" s="713"/>
      <c r="F7" s="713"/>
      <c r="G7" s="713"/>
      <c r="H7" s="713"/>
      <c r="I7" s="713"/>
    </row>
    <row r="8" spans="1:9" x14ac:dyDescent="0.25">
      <c r="A8" s="714" t="s">
        <v>46</v>
      </c>
      <c r="B8" s="714"/>
      <c r="C8" s="714"/>
      <c r="D8" s="714"/>
      <c r="E8" s="714"/>
      <c r="F8" s="714"/>
      <c r="G8" s="714"/>
      <c r="H8" s="714"/>
      <c r="I8" s="714"/>
    </row>
    <row r="9" spans="1:9" x14ac:dyDescent="0.25">
      <c r="A9" s="714"/>
      <c r="B9" s="714"/>
      <c r="C9" s="714"/>
      <c r="D9" s="714"/>
      <c r="E9" s="714"/>
      <c r="F9" s="714"/>
      <c r="G9" s="714"/>
      <c r="H9" s="714"/>
      <c r="I9" s="714"/>
    </row>
    <row r="10" spans="1:9" x14ac:dyDescent="0.25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 x14ac:dyDescent="0.25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 x14ac:dyDescent="0.25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 x14ac:dyDescent="0.25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 x14ac:dyDescent="0.25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x14ac:dyDescent="0.3">
      <c r="A15" s="234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236" t="s">
        <v>33</v>
      </c>
      <c r="B18" s="745" t="s">
        <v>5</v>
      </c>
      <c r="C18" s="745"/>
      <c r="D18" s="379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388">
        <v>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750" t="s">
        <v>9</v>
      </c>
      <c r="C20" s="750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745" t="s">
        <v>143</v>
      </c>
      <c r="C26" s="745"/>
    </row>
    <row r="27" spans="1:14" ht="26.25" customHeight="1" x14ac:dyDescent="0.4">
      <c r="A27" s="245" t="s">
        <v>48</v>
      </c>
      <c r="B27" s="751" t="s">
        <v>142</v>
      </c>
      <c r="C27" s="751"/>
    </row>
    <row r="28" spans="1:14" ht="27" customHeight="1" x14ac:dyDescent="0.4">
      <c r="A28" s="245" t="s">
        <v>6</v>
      </c>
      <c r="B28" s="246">
        <v>98.8</v>
      </c>
    </row>
    <row r="29" spans="1:14" s="3" customFormat="1" ht="27" customHeight="1" x14ac:dyDescent="0.4">
      <c r="A29" s="245" t="s">
        <v>49</v>
      </c>
      <c r="B29" s="247">
        <v>0</v>
      </c>
      <c r="C29" s="721" t="s">
        <v>50</v>
      </c>
      <c r="D29" s="722"/>
      <c r="E29" s="722"/>
      <c r="F29" s="722"/>
      <c r="G29" s="723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98.8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724" t="s">
        <v>53</v>
      </c>
      <c r="D31" s="725"/>
      <c r="E31" s="725"/>
      <c r="F31" s="725"/>
      <c r="G31" s="725"/>
      <c r="H31" s="726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724" t="s">
        <v>55</v>
      </c>
      <c r="D32" s="725"/>
      <c r="E32" s="725"/>
      <c r="F32" s="725"/>
      <c r="G32" s="725"/>
      <c r="H32" s="726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727" t="s">
        <v>59</v>
      </c>
      <c r="E36" s="752"/>
      <c r="F36" s="727" t="s">
        <v>60</v>
      </c>
      <c r="G36" s="728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10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25</v>
      </c>
      <c r="C38" s="267">
        <v>1</v>
      </c>
      <c r="D38" s="694">
        <v>25788256</v>
      </c>
      <c r="E38" s="268">
        <f>IF(ISBLANK(D38),"-",$D$48/$D$45*D38)</f>
        <v>28207644.471409071</v>
      </c>
      <c r="F38" s="694">
        <v>27013314</v>
      </c>
      <c r="G38" s="269">
        <f>IF(ISBLANK(F38),"-",$D$48/$F$45*F38)</f>
        <v>28740095.582873952</v>
      </c>
      <c r="I38" s="270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1">
        <v>2</v>
      </c>
      <c r="D39" s="695">
        <v>25769917</v>
      </c>
      <c r="E39" s="273">
        <f>IF(ISBLANK(D39),"-",$D$48/$D$45*D39)</f>
        <v>28187584.953155447</v>
      </c>
      <c r="F39" s="695">
        <v>27138977</v>
      </c>
      <c r="G39" s="274">
        <f>IF(ISBLANK(F39),"-",$D$48/$F$45*F39)</f>
        <v>28873791.383071985</v>
      </c>
      <c r="I39" s="729">
        <f>ABS((F43/D43*D42)-F42)/D42</f>
        <v>2.2672252570891876E-2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1">
        <v>3</v>
      </c>
      <c r="D40" s="695">
        <v>25777612</v>
      </c>
      <c r="E40" s="273">
        <f>IF(ISBLANK(D40),"-",$D$48/$D$45*D40)</f>
        <v>28196001.878449172</v>
      </c>
      <c r="F40" s="695">
        <v>27109850</v>
      </c>
      <c r="G40" s="274">
        <f>IF(ISBLANK(F40),"-",$D$48/$F$45*F40)</f>
        <v>28842802.487594649</v>
      </c>
      <c r="I40" s="729"/>
      <c r="L40" s="253"/>
      <c r="M40" s="253"/>
      <c r="N40" s="275"/>
    </row>
    <row r="41" spans="1:14" ht="27" customHeight="1" x14ac:dyDescent="0.4">
      <c r="A41" s="260" t="s">
        <v>69</v>
      </c>
      <c r="B41" s="261">
        <v>1</v>
      </c>
      <c r="C41" s="276">
        <v>4</v>
      </c>
      <c r="D41" s="696"/>
      <c r="E41" s="277" t="str">
        <f>IF(ISBLANK(D41),"-",$D$48/$D$45*D41)</f>
        <v>-</v>
      </c>
      <c r="F41" s="696"/>
      <c r="G41" s="278" t="str">
        <f>IF(ISBLANK(F41),"-",$D$48/$F$45*F41)</f>
        <v>-</v>
      </c>
      <c r="I41" s="279"/>
      <c r="L41" s="253"/>
      <c r="M41" s="253"/>
      <c r="N41" s="275"/>
    </row>
    <row r="42" spans="1:14" ht="27" customHeight="1" x14ac:dyDescent="0.4">
      <c r="A42" s="260" t="s">
        <v>70</v>
      </c>
      <c r="B42" s="261">
        <v>1</v>
      </c>
      <c r="C42" s="280" t="s">
        <v>71</v>
      </c>
      <c r="D42" s="281">
        <f>AVERAGE(D38:D41)</f>
        <v>25778595</v>
      </c>
      <c r="E42" s="282">
        <f>AVERAGE(E38:E41)</f>
        <v>28197077.10100456</v>
      </c>
      <c r="F42" s="281">
        <f>AVERAGE(F38:F41)</f>
        <v>27087380.333333332</v>
      </c>
      <c r="G42" s="283">
        <f>AVERAGE(G38:G41)</f>
        <v>28818896.484513532</v>
      </c>
      <c r="H42" s="284"/>
    </row>
    <row r="43" spans="1:14" ht="26.25" customHeight="1" x14ac:dyDescent="0.4">
      <c r="A43" s="260" t="s">
        <v>72</v>
      </c>
      <c r="B43" s="261">
        <v>1</v>
      </c>
      <c r="C43" s="285" t="s">
        <v>73</v>
      </c>
      <c r="D43" s="286">
        <v>13.88</v>
      </c>
      <c r="E43" s="275"/>
      <c r="F43" s="286">
        <v>14.27</v>
      </c>
      <c r="H43" s="284"/>
    </row>
    <row r="44" spans="1:14" ht="26.25" customHeight="1" x14ac:dyDescent="0.4">
      <c r="A44" s="260" t="s">
        <v>74</v>
      </c>
      <c r="B44" s="261">
        <v>1</v>
      </c>
      <c r="C44" s="287" t="s">
        <v>75</v>
      </c>
      <c r="D44" s="288">
        <f>D43*$B$34</f>
        <v>13.88</v>
      </c>
      <c r="E44" s="289"/>
      <c r="F44" s="288">
        <f>F43*$B$34</f>
        <v>14.27</v>
      </c>
      <c r="H44" s="284"/>
    </row>
    <row r="45" spans="1:14" ht="19.5" customHeight="1" x14ac:dyDescent="0.3">
      <c r="A45" s="260" t="s">
        <v>76</v>
      </c>
      <c r="B45" s="290">
        <f>(B44/B43)*(B42/B41)*(B40/B39)*(B38/B37)*B36</f>
        <v>125</v>
      </c>
      <c r="C45" s="287" t="s">
        <v>77</v>
      </c>
      <c r="D45" s="291">
        <f>D44*$B$30/100</f>
        <v>13.71344</v>
      </c>
      <c r="E45" s="292"/>
      <c r="F45" s="291">
        <f>F44*$B$30/100</f>
        <v>14.09876</v>
      </c>
      <c r="H45" s="284"/>
    </row>
    <row r="46" spans="1:14" ht="19.5" customHeight="1" x14ac:dyDescent="0.3">
      <c r="A46" s="715" t="s">
        <v>78</v>
      </c>
      <c r="B46" s="716"/>
      <c r="C46" s="287" t="s">
        <v>79</v>
      </c>
      <c r="D46" s="293">
        <f>D45/$B$45</f>
        <v>0.10970752</v>
      </c>
      <c r="E46" s="294"/>
      <c r="F46" s="295">
        <f>F45/$B$45</f>
        <v>0.11279008</v>
      </c>
      <c r="H46" s="284"/>
    </row>
    <row r="47" spans="1:14" ht="27" customHeight="1" x14ac:dyDescent="0.4">
      <c r="A47" s="717"/>
      <c r="B47" s="718"/>
      <c r="C47" s="296" t="s">
        <v>80</v>
      </c>
      <c r="D47" s="297">
        <v>0.12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15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15</v>
      </c>
      <c r="F49" s="300"/>
      <c r="H49" s="284"/>
    </row>
    <row r="50" spans="1:12" ht="18.75" x14ac:dyDescent="0.3">
      <c r="C50" s="258" t="s">
        <v>83</v>
      </c>
      <c r="D50" s="303">
        <f>AVERAGE(E38:E41,G38:G41)</f>
        <v>28507986.792759042</v>
      </c>
      <c r="F50" s="304"/>
      <c r="H50" s="284"/>
    </row>
    <row r="51" spans="1:12" ht="18.75" x14ac:dyDescent="0.3">
      <c r="C51" s="260" t="s">
        <v>84</v>
      </c>
      <c r="D51" s="305">
        <f>STDEV(E38:E41,G38:G41)/D50</f>
        <v>1.2049512496220733E-2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5" t="s">
        <v>86</v>
      </c>
      <c r="B55" s="310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1" t="s">
        <v>87</v>
      </c>
      <c r="B56" s="312">
        <v>300</v>
      </c>
      <c r="C56" s="235" t="str">
        <f>B20</f>
        <v>Efavirenz 600mg, Lamivudine 300mg and Tenofovir Disoproxil Fumarate 300mg Tablets</v>
      </c>
      <c r="H56" s="313"/>
    </row>
    <row r="57" spans="1:12" ht="18.75" x14ac:dyDescent="0.3">
      <c r="A57" s="310" t="s">
        <v>88</v>
      </c>
      <c r="B57" s="380">
        <f>Uniformity!C46</f>
        <v>1763.6875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8" t="s">
        <v>89</v>
      </c>
      <c r="B59" s="259">
        <v>50</v>
      </c>
      <c r="C59" s="235"/>
      <c r="D59" s="314" t="s">
        <v>90</v>
      </c>
      <c r="E59" s="315" t="s">
        <v>62</v>
      </c>
      <c r="F59" s="315" t="s">
        <v>63</v>
      </c>
      <c r="G59" s="315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4</v>
      </c>
      <c r="C60" s="732" t="s">
        <v>94</v>
      </c>
      <c r="D60" s="735">
        <f>Lamivudine!D60</f>
        <v>1768.58</v>
      </c>
      <c r="E60" s="316">
        <v>1</v>
      </c>
      <c r="F60" s="317">
        <v>26840526</v>
      </c>
      <c r="G60" s="381">
        <f>IF(ISBLANK(F60),"-",(F60/$D$50*$D$47*$B$68)*($B$57/$D$60))</f>
        <v>281.67133733483581</v>
      </c>
      <c r="H60" s="399">
        <f t="shared" ref="H60:H71" si="0">IF(ISBLANK(F60),"-",(G60/$B$56)*100)</f>
        <v>93.890445778278604</v>
      </c>
      <c r="L60" s="248"/>
    </row>
    <row r="61" spans="1:12" s="3" customFormat="1" ht="26.25" customHeight="1" x14ac:dyDescent="0.4">
      <c r="A61" s="260" t="s">
        <v>95</v>
      </c>
      <c r="B61" s="261">
        <v>200</v>
      </c>
      <c r="C61" s="733"/>
      <c r="D61" s="736"/>
      <c r="E61" s="318">
        <v>2</v>
      </c>
      <c r="F61" s="272">
        <v>26778060</v>
      </c>
      <c r="G61" s="382">
        <f>IF(ISBLANK(F61),"-",(F61/$D$50*$D$47*$B$68)*($B$57/$D$60))</f>
        <v>281.01580317138615</v>
      </c>
      <c r="H61" s="400">
        <f t="shared" si="0"/>
        <v>93.671934390462056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733"/>
      <c r="D62" s="736"/>
      <c r="E62" s="318">
        <v>3</v>
      </c>
      <c r="F62" s="319">
        <v>26643685</v>
      </c>
      <c r="G62" s="382">
        <f>IF(ISBLANK(F62),"-",(F62/$D$50*$D$47*$B$68)*($B$57/$D$60))</f>
        <v>279.60563758989321</v>
      </c>
      <c r="H62" s="400">
        <f t="shared" si="0"/>
        <v>93.201879196631069</v>
      </c>
      <c r="L62" s="248"/>
    </row>
    <row r="63" spans="1:12" ht="27" customHeight="1" x14ac:dyDescent="0.4">
      <c r="A63" s="260" t="s">
        <v>97</v>
      </c>
      <c r="B63" s="261">
        <v>1</v>
      </c>
      <c r="C63" s="742"/>
      <c r="D63" s="737"/>
      <c r="E63" s="320">
        <v>4</v>
      </c>
      <c r="F63" s="321"/>
      <c r="G63" s="382" t="str">
        <f>IF(ISBLANK(F63),"-",(F63/$D$50*$D$47*$B$68)*($B$57/$D$60))</f>
        <v>-</v>
      </c>
      <c r="H63" s="400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732" t="s">
        <v>99</v>
      </c>
      <c r="D64" s="735">
        <f>Lamivudine!D64</f>
        <v>1768.54</v>
      </c>
      <c r="E64" s="316">
        <v>1</v>
      </c>
      <c r="F64" s="317">
        <v>27294869</v>
      </c>
      <c r="G64" s="381">
        <f>IF(ISBLANK(F64),"-",(F64/$D$50*$D$47*$B$68)*($B$57/$D$64))</f>
        <v>286.4458074060708</v>
      </c>
      <c r="H64" s="399">
        <f t="shared" si="0"/>
        <v>95.4819358020236</v>
      </c>
    </row>
    <row r="65" spans="1:8" ht="26.25" customHeight="1" x14ac:dyDescent="0.4">
      <c r="A65" s="260" t="s">
        <v>100</v>
      </c>
      <c r="B65" s="261">
        <v>1</v>
      </c>
      <c r="C65" s="733"/>
      <c r="D65" s="736"/>
      <c r="E65" s="318">
        <v>2</v>
      </c>
      <c r="F65" s="272">
        <v>27645524</v>
      </c>
      <c r="G65" s="382">
        <f>IF(ISBLANK(F65),"-",(F65/$D$50*$D$47*$B$68)*($B$57/$D$64))</f>
        <v>290.12575379438192</v>
      </c>
      <c r="H65" s="400">
        <f t="shared" si="0"/>
        <v>96.708584598127317</v>
      </c>
    </row>
    <row r="66" spans="1:8" ht="26.25" customHeight="1" x14ac:dyDescent="0.4">
      <c r="A66" s="260" t="s">
        <v>101</v>
      </c>
      <c r="B66" s="261">
        <v>1</v>
      </c>
      <c r="C66" s="733"/>
      <c r="D66" s="736"/>
      <c r="E66" s="318">
        <v>3</v>
      </c>
      <c r="F66" s="272">
        <v>27345346</v>
      </c>
      <c r="G66" s="382">
        <f>IF(ISBLANK(F66),"-",(F66/$D$50*$D$47*$B$68)*($B$57/$D$64))</f>
        <v>286.97553792137148</v>
      </c>
      <c r="H66" s="400">
        <f t="shared" si="0"/>
        <v>95.658512640457161</v>
      </c>
    </row>
    <row r="67" spans="1:8" ht="27" customHeight="1" x14ac:dyDescent="0.4">
      <c r="A67" s="260" t="s">
        <v>102</v>
      </c>
      <c r="B67" s="261">
        <v>1</v>
      </c>
      <c r="C67" s="742"/>
      <c r="D67" s="737"/>
      <c r="E67" s="320">
        <v>4</v>
      </c>
      <c r="F67" s="321"/>
      <c r="G67" s="398" t="str">
        <f>IF(ISBLANK(F67),"-",(F67/$D$50*$D$47*$B$68)*($B$57/$D$64))</f>
        <v>-</v>
      </c>
      <c r="H67" s="401" t="str">
        <f t="shared" si="0"/>
        <v>-</v>
      </c>
    </row>
    <row r="68" spans="1:8" ht="26.25" customHeight="1" x14ac:dyDescent="0.4">
      <c r="A68" s="260" t="s">
        <v>103</v>
      </c>
      <c r="B68" s="322">
        <f>(B67/B66)*(B65/B64)*(B63/B62)*(B61/B60)*B59</f>
        <v>2500</v>
      </c>
      <c r="C68" s="732" t="s">
        <v>104</v>
      </c>
      <c r="D68" s="735">
        <f>Lamivudine!D68</f>
        <v>1770.89</v>
      </c>
      <c r="E68" s="316">
        <v>1</v>
      </c>
      <c r="F68" s="317">
        <v>27566000</v>
      </c>
      <c r="G68" s="381">
        <f>IF(ISBLANK(F68),"-",(F68/$D$50*$D$47*$B$68)*($B$57/$D$68))</f>
        <v>288.90729560412484</v>
      </c>
      <c r="H68" s="400">
        <f t="shared" si="0"/>
        <v>96.302431868041623</v>
      </c>
    </row>
    <row r="69" spans="1:8" ht="27" customHeight="1" x14ac:dyDescent="0.4">
      <c r="A69" s="306" t="s">
        <v>105</v>
      </c>
      <c r="B69" s="323">
        <f>(D47*B68)/B56*B57</f>
        <v>1763.6875</v>
      </c>
      <c r="C69" s="733"/>
      <c r="D69" s="736"/>
      <c r="E69" s="318">
        <v>2</v>
      </c>
      <c r="F69" s="272">
        <v>27945491</v>
      </c>
      <c r="G69" s="382">
        <f>IF(ISBLANK(F69),"-",(F69/$D$50*$D$47*$B$68)*($B$57/$D$68))</f>
        <v>292.88457625841295</v>
      </c>
      <c r="H69" s="400">
        <f t="shared" si="0"/>
        <v>97.628192086137659</v>
      </c>
    </row>
    <row r="70" spans="1:8" ht="26.25" customHeight="1" x14ac:dyDescent="0.4">
      <c r="A70" s="738" t="s">
        <v>78</v>
      </c>
      <c r="B70" s="739"/>
      <c r="C70" s="733"/>
      <c r="D70" s="736"/>
      <c r="E70" s="318">
        <v>3</v>
      </c>
      <c r="F70" s="272">
        <v>28145280</v>
      </c>
      <c r="G70" s="382">
        <f>IF(ISBLANK(F70),"-",(F70/$D$50*$D$47*$B$68)*($B$57/$D$68))</f>
        <v>294.97847815500478</v>
      </c>
      <c r="H70" s="400">
        <f t="shared" si="0"/>
        <v>98.326159385001588</v>
      </c>
    </row>
    <row r="71" spans="1:8" ht="27" customHeight="1" x14ac:dyDescent="0.4">
      <c r="A71" s="740"/>
      <c r="B71" s="741"/>
      <c r="C71" s="734"/>
      <c r="D71" s="737"/>
      <c r="E71" s="320">
        <v>4</v>
      </c>
      <c r="F71" s="321"/>
      <c r="G71" s="398" t="str">
        <f>IF(ISBLANK(F71),"-",(F71/$D$50*$D$47*$B$68)*($B$57/$D$68))</f>
        <v>-</v>
      </c>
      <c r="H71" s="401" t="str">
        <f t="shared" si="0"/>
        <v>-</v>
      </c>
    </row>
    <row r="72" spans="1:8" ht="26.25" customHeight="1" x14ac:dyDescent="0.4">
      <c r="A72" s="324"/>
      <c r="B72" s="324"/>
      <c r="C72" s="324"/>
      <c r="D72" s="324"/>
      <c r="E72" s="324"/>
      <c r="F72" s="326" t="s">
        <v>71</v>
      </c>
      <c r="G72" s="387">
        <f>AVERAGE(G60:G71)</f>
        <v>286.95669191505357</v>
      </c>
      <c r="H72" s="402">
        <f>AVERAGE(H60:H71)</f>
        <v>95.652230638351185</v>
      </c>
    </row>
    <row r="73" spans="1:8" ht="26.25" customHeight="1" x14ac:dyDescent="0.4">
      <c r="C73" s="324"/>
      <c r="D73" s="324"/>
      <c r="E73" s="324"/>
      <c r="F73" s="327" t="s">
        <v>84</v>
      </c>
      <c r="G73" s="386">
        <f>STDEV(G60:G71)/G72</f>
        <v>1.8720517647436118E-2</v>
      </c>
      <c r="H73" s="386">
        <f>STDEV(H60:H71)/H72</f>
        <v>1.8720517647436128E-2</v>
      </c>
    </row>
    <row r="74" spans="1:8" ht="27" customHeight="1" x14ac:dyDescent="0.4">
      <c r="A74" s="324"/>
      <c r="B74" s="324"/>
      <c r="C74" s="325"/>
      <c r="D74" s="325"/>
      <c r="E74" s="328"/>
      <c r="F74" s="329" t="s">
        <v>20</v>
      </c>
      <c r="G74" s="330">
        <f>COUNT(G60:G71)</f>
        <v>9</v>
      </c>
      <c r="H74" s="330">
        <f>COUNT(H60:H71)</f>
        <v>9</v>
      </c>
    </row>
    <row r="76" spans="1:8" ht="26.25" customHeight="1" x14ac:dyDescent="0.4">
      <c r="A76" s="244" t="s">
        <v>106</v>
      </c>
      <c r="B76" s="331" t="s">
        <v>107</v>
      </c>
      <c r="C76" s="719" t="str">
        <f>B26</f>
        <v>Tenofovir DF</v>
      </c>
      <c r="D76" s="719"/>
      <c r="E76" s="332" t="s">
        <v>108</v>
      </c>
      <c r="F76" s="332"/>
      <c r="G76" s="333">
        <f>H72</f>
        <v>95.652230638351185</v>
      </c>
      <c r="H76" s="334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753" t="str">
        <f>B26</f>
        <v>Tenofovir DF</v>
      </c>
      <c r="C79" s="753"/>
    </row>
    <row r="80" spans="1:8" ht="26.25" customHeight="1" x14ac:dyDescent="0.4">
      <c r="A80" s="245" t="s">
        <v>48</v>
      </c>
      <c r="B80" s="753" t="str">
        <f>B27</f>
        <v>T11 8</v>
      </c>
      <c r="C80" s="753"/>
    </row>
    <row r="81" spans="1:12" ht="27" customHeight="1" x14ac:dyDescent="0.4">
      <c r="A81" s="245" t="s">
        <v>6</v>
      </c>
      <c r="B81" s="335">
        <f>B28</f>
        <v>98.8</v>
      </c>
    </row>
    <row r="82" spans="1:12" s="3" customFormat="1" ht="27" customHeight="1" x14ac:dyDescent="0.4">
      <c r="A82" s="245" t="s">
        <v>49</v>
      </c>
      <c r="B82" s="247">
        <v>0</v>
      </c>
      <c r="C82" s="721" t="s">
        <v>50</v>
      </c>
      <c r="D82" s="722"/>
      <c r="E82" s="722"/>
      <c r="F82" s="722"/>
      <c r="G82" s="723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98.8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724" t="s">
        <v>111</v>
      </c>
      <c r="D84" s="725"/>
      <c r="E84" s="725"/>
      <c r="F84" s="725"/>
      <c r="G84" s="725"/>
      <c r="H84" s="726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724" t="s">
        <v>112</v>
      </c>
      <c r="D85" s="725"/>
      <c r="E85" s="725"/>
      <c r="F85" s="725"/>
      <c r="G85" s="725"/>
      <c r="H85" s="726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36" t="s">
        <v>59</v>
      </c>
      <c r="E89" s="337"/>
      <c r="F89" s="727" t="s">
        <v>60</v>
      </c>
      <c r="G89" s="728"/>
    </row>
    <row r="90" spans="1:12" ht="27" customHeight="1" x14ac:dyDescent="0.4">
      <c r="A90" s="260" t="s">
        <v>61</v>
      </c>
      <c r="B90" s="261">
        <v>1</v>
      </c>
      <c r="C90" s="338" t="s">
        <v>62</v>
      </c>
      <c r="D90" s="263" t="s">
        <v>63</v>
      </c>
      <c r="E90" s="264" t="s">
        <v>64</v>
      </c>
      <c r="F90" s="263" t="s">
        <v>63</v>
      </c>
      <c r="G90" s="339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</v>
      </c>
      <c r="C91" s="340">
        <v>1</v>
      </c>
      <c r="D91" s="452">
        <v>60296334</v>
      </c>
      <c r="E91" s="268">
        <f>IF(ISBLANK(D91),"-",$D$101/$D$98*D91)</f>
        <v>70309537.024944499</v>
      </c>
      <c r="F91" s="452">
        <v>73711348</v>
      </c>
      <c r="G91" s="269">
        <f>IF(ISBLANK(F91),"-",$D$101/$F$98*F91)</f>
        <v>70162972.599088758</v>
      </c>
      <c r="I91" s="270"/>
    </row>
    <row r="92" spans="1:12" ht="26.25" customHeight="1" x14ac:dyDescent="0.4">
      <c r="A92" s="260" t="s">
        <v>67</v>
      </c>
      <c r="B92" s="261">
        <v>1</v>
      </c>
      <c r="C92" s="325">
        <v>2</v>
      </c>
      <c r="D92" s="457">
        <v>60270590</v>
      </c>
      <c r="E92" s="273">
        <f>IF(ISBLANK(D92),"-",$D$101/$D$98*D92)</f>
        <v>70279517.808168069</v>
      </c>
      <c r="F92" s="457">
        <v>73867049</v>
      </c>
      <c r="G92" s="274">
        <f>IF(ISBLANK(F92),"-",$D$101/$F$98*F92)</f>
        <v>70311178.340715557</v>
      </c>
      <c r="I92" s="729">
        <f>ABS((F96/D96*D95)-F95)/D95</f>
        <v>1.3211910157913237E-3</v>
      </c>
    </row>
    <row r="93" spans="1:12" ht="26.25" customHeight="1" x14ac:dyDescent="0.4">
      <c r="A93" s="260" t="s">
        <v>68</v>
      </c>
      <c r="B93" s="261">
        <v>1</v>
      </c>
      <c r="C93" s="325">
        <v>3</v>
      </c>
      <c r="D93" s="457">
        <v>60408517</v>
      </c>
      <c r="E93" s="273">
        <f>IF(ISBLANK(D93),"-",$D$101/$D$98*D93)</f>
        <v>70440349.866601989</v>
      </c>
      <c r="F93" s="457">
        <v>73884365</v>
      </c>
      <c r="G93" s="274">
        <f>IF(ISBLANK(F93),"-",$D$101/$F$98*F93)</f>
        <v>70327660.769357696</v>
      </c>
      <c r="I93" s="729"/>
    </row>
    <row r="94" spans="1:12" ht="27" customHeight="1" x14ac:dyDescent="0.4">
      <c r="A94" s="260" t="s">
        <v>69</v>
      </c>
      <c r="B94" s="261">
        <v>1</v>
      </c>
      <c r="C94" s="341">
        <v>4</v>
      </c>
      <c r="D94" s="462"/>
      <c r="E94" s="277" t="str">
        <f>IF(ISBLANK(D94),"-",$D$101/$D$98*D94)</f>
        <v>-</v>
      </c>
      <c r="F94" s="528"/>
      <c r="G94" s="278" t="str">
        <f>IF(ISBLANK(F94),"-",$D$101/$F$98*F94)</f>
        <v>-</v>
      </c>
      <c r="I94" s="279"/>
    </row>
    <row r="95" spans="1:12" ht="27" customHeight="1" x14ac:dyDescent="0.4">
      <c r="A95" s="260" t="s">
        <v>70</v>
      </c>
      <c r="B95" s="261">
        <v>1</v>
      </c>
      <c r="C95" s="342" t="s">
        <v>71</v>
      </c>
      <c r="D95" s="343">
        <f>AVERAGE(D91:D94)</f>
        <v>60325147</v>
      </c>
      <c r="E95" s="282">
        <f>AVERAGE(E91:E94)</f>
        <v>70343134.899904847</v>
      </c>
      <c r="F95" s="344">
        <f>AVERAGE(F91:F94)</f>
        <v>73820920.666666672</v>
      </c>
      <c r="G95" s="345">
        <f>AVERAGE(G91:G94)</f>
        <v>70267270.569720671</v>
      </c>
    </row>
    <row r="96" spans="1:12" ht="26.25" customHeight="1" x14ac:dyDescent="0.4">
      <c r="A96" s="260" t="s">
        <v>72</v>
      </c>
      <c r="B96" s="246">
        <v>1</v>
      </c>
      <c r="C96" s="346" t="s">
        <v>113</v>
      </c>
      <c r="D96" s="347">
        <v>13.02</v>
      </c>
      <c r="E96" s="275"/>
      <c r="F96" s="286">
        <v>15.95</v>
      </c>
    </row>
    <row r="97" spans="1:10" ht="26.25" customHeight="1" x14ac:dyDescent="0.4">
      <c r="A97" s="260" t="s">
        <v>74</v>
      </c>
      <c r="B97" s="246">
        <v>1</v>
      </c>
      <c r="C97" s="348" t="s">
        <v>114</v>
      </c>
      <c r="D97" s="349">
        <f>D96*$B$87</f>
        <v>13.02</v>
      </c>
      <c r="E97" s="289"/>
      <c r="F97" s="288">
        <f>F96*$B$87</f>
        <v>15.95</v>
      </c>
    </row>
    <row r="98" spans="1:10" ht="19.5" customHeight="1" x14ac:dyDescent="0.3">
      <c r="A98" s="260" t="s">
        <v>76</v>
      </c>
      <c r="B98" s="350">
        <f>(B97/B96)*(B95/B94)*(B93/B92)*(B91/B90)*B89</f>
        <v>50</v>
      </c>
      <c r="C98" s="348" t="s">
        <v>115</v>
      </c>
      <c r="D98" s="351">
        <f>D97*$B$83/100</f>
        <v>12.863759999999999</v>
      </c>
      <c r="E98" s="292"/>
      <c r="F98" s="291">
        <f>F97*$B$83/100</f>
        <v>15.758599999999999</v>
      </c>
    </row>
    <row r="99" spans="1:10" ht="19.5" customHeight="1" x14ac:dyDescent="0.3">
      <c r="A99" s="715" t="s">
        <v>78</v>
      </c>
      <c r="B99" s="730"/>
      <c r="C99" s="348" t="s">
        <v>116</v>
      </c>
      <c r="D99" s="352">
        <f>D98/$B$98</f>
        <v>0.25727519999999998</v>
      </c>
      <c r="E99" s="292"/>
      <c r="F99" s="295">
        <f>F98/$B$98</f>
        <v>0.31517200000000001</v>
      </c>
      <c r="G99" s="353"/>
      <c r="H99" s="284"/>
    </row>
    <row r="100" spans="1:10" ht="19.5" customHeight="1" x14ac:dyDescent="0.3">
      <c r="A100" s="717"/>
      <c r="B100" s="731"/>
      <c r="C100" s="348" t="s">
        <v>80</v>
      </c>
      <c r="D100" s="354">
        <f>$B$56/$B$116</f>
        <v>0.3</v>
      </c>
      <c r="F100" s="300"/>
      <c r="G100" s="355"/>
      <c r="H100" s="284"/>
    </row>
    <row r="101" spans="1:10" ht="18.75" x14ac:dyDescent="0.3">
      <c r="C101" s="348" t="s">
        <v>81</v>
      </c>
      <c r="D101" s="349">
        <f>D100*$B$98</f>
        <v>15</v>
      </c>
      <c r="F101" s="300"/>
      <c r="G101" s="353"/>
      <c r="H101" s="284"/>
    </row>
    <row r="102" spans="1:10" ht="19.5" customHeight="1" x14ac:dyDescent="0.3">
      <c r="C102" s="356" t="s">
        <v>82</v>
      </c>
      <c r="D102" s="357">
        <f>D101/B34</f>
        <v>15</v>
      </c>
      <c r="F102" s="304"/>
      <c r="G102" s="353"/>
      <c r="H102" s="284"/>
      <c r="J102" s="358"/>
    </row>
    <row r="103" spans="1:10" ht="18.75" x14ac:dyDescent="0.3">
      <c r="C103" s="359" t="s">
        <v>117</v>
      </c>
      <c r="D103" s="360">
        <f>AVERAGE(E91:E94,G91:G94)</f>
        <v>70305202.734812751</v>
      </c>
      <c r="F103" s="304"/>
      <c r="G103" s="361"/>
      <c r="H103" s="284"/>
      <c r="J103" s="362"/>
    </row>
    <row r="104" spans="1:10" ht="18.75" x14ac:dyDescent="0.3">
      <c r="C104" s="327" t="s">
        <v>84</v>
      </c>
      <c r="D104" s="363">
        <f>STDEV(E91:E94,G91:G94)/D103</f>
        <v>1.267629718709891E-3</v>
      </c>
      <c r="F104" s="304"/>
      <c r="G104" s="353"/>
      <c r="H104" s="284"/>
      <c r="J104" s="362"/>
    </row>
    <row r="105" spans="1:10" ht="19.5" customHeight="1" x14ac:dyDescent="0.3">
      <c r="C105" s="329" t="s">
        <v>20</v>
      </c>
      <c r="D105" s="364">
        <f>COUNT(E91:E94,G91:G94)</f>
        <v>6</v>
      </c>
      <c r="F105" s="304"/>
      <c r="G105" s="353"/>
      <c r="H105" s="284"/>
      <c r="J105" s="362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7" customHeight="1" x14ac:dyDescent="0.4">
      <c r="A107" s="258" t="s">
        <v>118</v>
      </c>
      <c r="B107" s="259">
        <v>1000</v>
      </c>
      <c r="C107" s="403" t="s">
        <v>119</v>
      </c>
      <c r="D107" s="403" t="s">
        <v>63</v>
      </c>
      <c r="E107" s="403" t="s">
        <v>120</v>
      </c>
      <c r="F107" s="365" t="s">
        <v>121</v>
      </c>
    </row>
    <row r="108" spans="1:10" ht="26.25" customHeight="1" x14ac:dyDescent="0.4">
      <c r="A108" s="260" t="s">
        <v>122</v>
      </c>
      <c r="B108" s="261">
        <v>1</v>
      </c>
      <c r="C108" s="408">
        <v>1</v>
      </c>
      <c r="D108" s="409">
        <v>62051800</v>
      </c>
      <c r="E108" s="383">
        <f t="shared" ref="E108:E113" si="1">IF(ISBLANK(D108),"-",D108/$D$103*$D$100*$B$116)</f>
        <v>264.7818266055894</v>
      </c>
      <c r="F108" s="410">
        <f t="shared" ref="F108:F113" si="2">IF(ISBLANK(D108), "-", (E108/$B$56)*100)</f>
        <v>88.2606088685298</v>
      </c>
    </row>
    <row r="109" spans="1:10" ht="26.25" customHeight="1" x14ac:dyDescent="0.4">
      <c r="A109" s="260" t="s">
        <v>95</v>
      </c>
      <c r="B109" s="261">
        <v>1</v>
      </c>
      <c r="C109" s="404">
        <v>2</v>
      </c>
      <c r="D109" s="406">
        <v>62681643</v>
      </c>
      <c r="E109" s="384">
        <f t="shared" si="1"/>
        <v>267.46943566793317</v>
      </c>
      <c r="F109" s="411">
        <f t="shared" si="2"/>
        <v>89.156478555977728</v>
      </c>
    </row>
    <row r="110" spans="1:10" ht="26.25" customHeight="1" x14ac:dyDescent="0.4">
      <c r="A110" s="260" t="s">
        <v>96</v>
      </c>
      <c r="B110" s="261">
        <v>1</v>
      </c>
      <c r="C110" s="404">
        <v>3</v>
      </c>
      <c r="D110" s="406">
        <v>62142944</v>
      </c>
      <c r="E110" s="384">
        <f t="shared" si="1"/>
        <v>265.17074803581608</v>
      </c>
      <c r="F110" s="411">
        <f t="shared" si="2"/>
        <v>88.390249345272025</v>
      </c>
    </row>
    <row r="111" spans="1:10" ht="26.25" customHeight="1" x14ac:dyDescent="0.4">
      <c r="A111" s="260" t="s">
        <v>97</v>
      </c>
      <c r="B111" s="261">
        <v>1</v>
      </c>
      <c r="C111" s="404">
        <v>4</v>
      </c>
      <c r="D111" s="406">
        <v>61889341</v>
      </c>
      <c r="E111" s="384">
        <f t="shared" si="1"/>
        <v>264.08859625983769</v>
      </c>
      <c r="F111" s="411">
        <f t="shared" si="2"/>
        <v>88.029532086612562</v>
      </c>
    </row>
    <row r="112" spans="1:10" ht="26.25" customHeight="1" x14ac:dyDescent="0.4">
      <c r="A112" s="260" t="s">
        <v>98</v>
      </c>
      <c r="B112" s="261">
        <v>1</v>
      </c>
      <c r="C112" s="404">
        <v>5</v>
      </c>
      <c r="D112" s="406">
        <v>62076179</v>
      </c>
      <c r="E112" s="384">
        <f t="shared" si="1"/>
        <v>264.88585446861379</v>
      </c>
      <c r="F112" s="411">
        <f t="shared" si="2"/>
        <v>88.295284822871267</v>
      </c>
    </row>
    <row r="113" spans="1:10" ht="27" customHeight="1" x14ac:dyDescent="0.4">
      <c r="A113" s="260" t="s">
        <v>100</v>
      </c>
      <c r="B113" s="261">
        <v>1</v>
      </c>
      <c r="C113" s="405">
        <v>6</v>
      </c>
      <c r="D113" s="407">
        <v>62131666</v>
      </c>
      <c r="E113" s="385">
        <f t="shared" si="1"/>
        <v>265.12262357463271</v>
      </c>
      <c r="F113" s="412">
        <f t="shared" si="2"/>
        <v>88.374207858210909</v>
      </c>
    </row>
    <row r="114" spans="1:10" ht="27" customHeight="1" x14ac:dyDescent="0.4">
      <c r="A114" s="260" t="s">
        <v>101</v>
      </c>
      <c r="B114" s="261">
        <v>1</v>
      </c>
      <c r="C114" s="366"/>
      <c r="D114" s="325"/>
      <c r="E114" s="234"/>
      <c r="F114" s="413"/>
    </row>
    <row r="115" spans="1:10" ht="26.25" customHeight="1" x14ac:dyDescent="0.4">
      <c r="A115" s="260" t="s">
        <v>102</v>
      </c>
      <c r="B115" s="261">
        <v>1</v>
      </c>
      <c r="C115" s="366"/>
      <c r="D115" s="390" t="s">
        <v>71</v>
      </c>
      <c r="E115" s="392">
        <f>AVERAGE(E108:E113)</f>
        <v>265.25318076873714</v>
      </c>
      <c r="F115" s="414">
        <f>AVERAGE(F108:F113)</f>
        <v>88.417726922912379</v>
      </c>
    </row>
    <row r="116" spans="1:10" ht="27" customHeight="1" x14ac:dyDescent="0.4">
      <c r="A116" s="260" t="s">
        <v>103</v>
      </c>
      <c r="B116" s="290">
        <f>(B115/B114)*(B113/B112)*(B111/B110)*(B109/B108)*B107</f>
        <v>1000</v>
      </c>
      <c r="C116" s="367"/>
      <c r="D116" s="391" t="s">
        <v>84</v>
      </c>
      <c r="E116" s="389">
        <f>STDEV(E108:E113)/E115</f>
        <v>4.3474252621224646E-3</v>
      </c>
      <c r="F116" s="368">
        <f>STDEV(F108:F113)/F115</f>
        <v>4.3474252621224802E-3</v>
      </c>
      <c r="I116" s="234"/>
    </row>
    <row r="117" spans="1:10" ht="27" customHeight="1" x14ac:dyDescent="0.4">
      <c r="A117" s="715" t="s">
        <v>78</v>
      </c>
      <c r="B117" s="716"/>
      <c r="C117" s="369"/>
      <c r="D117" s="329" t="s">
        <v>20</v>
      </c>
      <c r="E117" s="394">
        <f>COUNT(E108:E113)</f>
        <v>6</v>
      </c>
      <c r="F117" s="395">
        <f>COUNT(F108:F113)</f>
        <v>6</v>
      </c>
      <c r="I117" s="234"/>
      <c r="J117" s="362"/>
    </row>
    <row r="118" spans="1:10" ht="26.25" customHeight="1" x14ac:dyDescent="0.3">
      <c r="A118" s="717"/>
      <c r="B118" s="718"/>
      <c r="C118" s="234"/>
      <c r="D118" s="393"/>
      <c r="E118" s="743" t="s">
        <v>123</v>
      </c>
      <c r="F118" s="744"/>
      <c r="G118" s="234"/>
      <c r="H118" s="234"/>
      <c r="I118" s="234"/>
    </row>
    <row r="119" spans="1:10" ht="25.5" customHeight="1" x14ac:dyDescent="0.4">
      <c r="A119" s="378"/>
      <c r="B119" s="256"/>
      <c r="C119" s="234"/>
      <c r="D119" s="391" t="s">
        <v>124</v>
      </c>
      <c r="E119" s="396">
        <f>MIN(E108:E113)</f>
        <v>264.08859625983769</v>
      </c>
      <c r="F119" s="415">
        <f>MIN(F108:F113)</f>
        <v>88.029532086612562</v>
      </c>
      <c r="G119" s="234"/>
      <c r="H119" s="234"/>
      <c r="I119" s="234"/>
    </row>
    <row r="120" spans="1:10" ht="24" customHeight="1" x14ac:dyDescent="0.4">
      <c r="A120" s="378"/>
      <c r="B120" s="256"/>
      <c r="C120" s="234"/>
      <c r="D120" s="301" t="s">
        <v>125</v>
      </c>
      <c r="E120" s="397">
        <f>MAX(E108:E113)</f>
        <v>267.46943566793317</v>
      </c>
      <c r="F120" s="416">
        <f>MAX(F108:F113)</f>
        <v>89.156478555977728</v>
      </c>
      <c r="G120" s="234"/>
      <c r="H120" s="234"/>
      <c r="I120" s="234"/>
    </row>
    <row r="121" spans="1:10" ht="27" customHeight="1" x14ac:dyDescent="0.3">
      <c r="A121" s="378"/>
      <c r="B121" s="256"/>
      <c r="C121" s="234"/>
      <c r="D121" s="234"/>
      <c r="E121" s="234"/>
      <c r="F121" s="325"/>
      <c r="G121" s="234"/>
      <c r="H121" s="234"/>
      <c r="I121" s="234"/>
    </row>
    <row r="122" spans="1:10" ht="25.5" customHeight="1" x14ac:dyDescent="0.3">
      <c r="A122" s="378"/>
      <c r="B122" s="256"/>
      <c r="C122" s="234"/>
      <c r="D122" s="234"/>
      <c r="E122" s="234"/>
      <c r="F122" s="325"/>
      <c r="G122" s="234"/>
      <c r="H122" s="234"/>
      <c r="I122" s="234"/>
    </row>
    <row r="123" spans="1:10" ht="18.75" x14ac:dyDescent="0.3">
      <c r="A123" s="378"/>
      <c r="B123" s="256"/>
      <c r="C123" s="234"/>
      <c r="D123" s="234"/>
      <c r="E123" s="234"/>
      <c r="F123" s="325"/>
      <c r="G123" s="234"/>
      <c r="H123" s="234"/>
      <c r="I123" s="234"/>
    </row>
    <row r="124" spans="1:10" ht="45.75" customHeight="1" x14ac:dyDescent="0.65">
      <c r="A124" s="244" t="s">
        <v>106</v>
      </c>
      <c r="B124" s="331" t="s">
        <v>126</v>
      </c>
      <c r="C124" s="719" t="str">
        <f>B26</f>
        <v>Tenofovir DF</v>
      </c>
      <c r="D124" s="719"/>
      <c r="E124" s="332" t="s">
        <v>127</v>
      </c>
      <c r="F124" s="332"/>
      <c r="G124" s="417">
        <f>F115</f>
        <v>88.417726922912379</v>
      </c>
      <c r="H124" s="234"/>
      <c r="I124" s="234"/>
    </row>
    <row r="125" spans="1:10" ht="45.75" customHeight="1" x14ac:dyDescent="0.65">
      <c r="A125" s="244"/>
      <c r="B125" s="331" t="s">
        <v>128</v>
      </c>
      <c r="C125" s="245" t="s">
        <v>129</v>
      </c>
      <c r="D125" s="417">
        <f>MIN(F108:F113)</f>
        <v>88.029532086612562</v>
      </c>
      <c r="E125" s="342" t="s">
        <v>130</v>
      </c>
      <c r="F125" s="417">
        <f>MAX(F108:F113)</f>
        <v>89.156478555977728</v>
      </c>
      <c r="G125" s="333"/>
      <c r="H125" s="234"/>
      <c r="I125" s="234"/>
    </row>
    <row r="126" spans="1:10" ht="19.5" customHeight="1" x14ac:dyDescent="0.3">
      <c r="A126" s="370"/>
      <c r="B126" s="370"/>
      <c r="C126" s="371"/>
      <c r="D126" s="371"/>
      <c r="E126" s="371"/>
      <c r="F126" s="371"/>
      <c r="G126" s="371"/>
      <c r="H126" s="371"/>
    </row>
    <row r="127" spans="1:10" ht="18.75" x14ac:dyDescent="0.3">
      <c r="B127" s="720" t="s">
        <v>26</v>
      </c>
      <c r="C127" s="720"/>
      <c r="E127" s="338" t="s">
        <v>27</v>
      </c>
      <c r="F127" s="372"/>
      <c r="G127" s="720" t="s">
        <v>28</v>
      </c>
      <c r="H127" s="720"/>
    </row>
    <row r="128" spans="1:10" ht="69.95" customHeight="1" x14ac:dyDescent="0.3">
      <c r="A128" s="373" t="s">
        <v>29</v>
      </c>
      <c r="B128" s="374"/>
      <c r="C128" s="374"/>
      <c r="E128" s="374"/>
      <c r="F128" s="234"/>
      <c r="G128" s="375"/>
      <c r="H128" s="375"/>
    </row>
    <row r="129" spans="1:9" ht="69.95" customHeight="1" x14ac:dyDescent="0.3">
      <c r="A129" s="373" t="s">
        <v>30</v>
      </c>
      <c r="B129" s="376"/>
      <c r="C129" s="376"/>
      <c r="E129" s="376"/>
      <c r="F129" s="234"/>
      <c r="G129" s="377"/>
      <c r="H129" s="377"/>
    </row>
    <row r="130" spans="1:9" ht="18.75" x14ac:dyDescent="0.3">
      <c r="A130" s="324"/>
      <c r="B130" s="324"/>
      <c r="C130" s="325"/>
      <c r="D130" s="325"/>
      <c r="E130" s="325"/>
      <c r="F130" s="328"/>
      <c r="G130" s="325"/>
      <c r="H130" s="325"/>
      <c r="I130" s="234"/>
    </row>
    <row r="131" spans="1:9" ht="18.75" x14ac:dyDescent="0.3">
      <c r="A131" s="324"/>
      <c r="B131" s="324"/>
      <c r="C131" s="325"/>
      <c r="D131" s="325"/>
      <c r="E131" s="325"/>
      <c r="F131" s="328"/>
      <c r="G131" s="325"/>
      <c r="H131" s="325"/>
      <c r="I131" s="234"/>
    </row>
    <row r="132" spans="1:9" ht="18.75" x14ac:dyDescent="0.3">
      <c r="A132" s="324"/>
      <c r="B132" s="324"/>
      <c r="C132" s="325"/>
      <c r="D132" s="325"/>
      <c r="E132" s="325"/>
      <c r="F132" s="328"/>
      <c r="G132" s="325"/>
      <c r="H132" s="325"/>
      <c r="I132" s="234"/>
    </row>
    <row r="133" spans="1:9" ht="18.75" x14ac:dyDescent="0.3">
      <c r="A133" s="324"/>
      <c r="B133" s="324"/>
      <c r="C133" s="325"/>
      <c r="D133" s="325"/>
      <c r="E133" s="325"/>
      <c r="F133" s="328"/>
      <c r="G133" s="325"/>
      <c r="H133" s="325"/>
      <c r="I133" s="234"/>
    </row>
    <row r="134" spans="1:9" ht="18.75" x14ac:dyDescent="0.3">
      <c r="A134" s="324"/>
      <c r="B134" s="324"/>
      <c r="C134" s="325"/>
      <c r="D134" s="325"/>
      <c r="E134" s="325"/>
      <c r="F134" s="328"/>
      <c r="G134" s="325"/>
      <c r="H134" s="325"/>
      <c r="I134" s="234"/>
    </row>
    <row r="135" spans="1:9" ht="18.75" x14ac:dyDescent="0.3">
      <c r="A135" s="324"/>
      <c r="B135" s="324"/>
      <c r="C135" s="325"/>
      <c r="D135" s="325"/>
      <c r="E135" s="325"/>
      <c r="F135" s="328"/>
      <c r="G135" s="325"/>
      <c r="H135" s="325"/>
      <c r="I135" s="234"/>
    </row>
    <row r="136" spans="1:9" ht="18.75" x14ac:dyDescent="0.3">
      <c r="A136" s="324"/>
      <c r="B136" s="324"/>
      <c r="C136" s="325"/>
      <c r="D136" s="325"/>
      <c r="E136" s="325"/>
      <c r="F136" s="328"/>
      <c r="G136" s="325"/>
      <c r="H136" s="325"/>
      <c r="I136" s="234"/>
    </row>
    <row r="137" spans="1:9" ht="18.75" x14ac:dyDescent="0.3">
      <c r="A137" s="324"/>
      <c r="B137" s="324"/>
      <c r="C137" s="325"/>
      <c r="D137" s="325"/>
      <c r="E137" s="325"/>
      <c r="F137" s="328"/>
      <c r="G137" s="325"/>
      <c r="H137" s="325"/>
      <c r="I137" s="234"/>
    </row>
    <row r="138" spans="1:9" ht="18.75" x14ac:dyDescent="0.3">
      <c r="A138" s="324"/>
      <c r="B138" s="324"/>
      <c r="C138" s="325"/>
      <c r="D138" s="325"/>
      <c r="E138" s="325"/>
      <c r="F138" s="328"/>
      <c r="G138" s="325"/>
      <c r="H138" s="325"/>
      <c r="I138" s="23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1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3" t="s">
        <v>45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 x14ac:dyDescent="0.25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 x14ac:dyDescent="0.25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 x14ac:dyDescent="0.25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 x14ac:dyDescent="0.25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 x14ac:dyDescent="0.25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 x14ac:dyDescent="0.25">
      <c r="A7" s="713"/>
      <c r="B7" s="713"/>
      <c r="C7" s="713"/>
      <c r="D7" s="713"/>
      <c r="E7" s="713"/>
      <c r="F7" s="713"/>
      <c r="G7" s="713"/>
      <c r="H7" s="713"/>
      <c r="I7" s="713"/>
    </row>
    <row r="8" spans="1:9" x14ac:dyDescent="0.25">
      <c r="A8" s="714" t="s">
        <v>46</v>
      </c>
      <c r="B8" s="714"/>
      <c r="C8" s="714"/>
      <c r="D8" s="714"/>
      <c r="E8" s="714"/>
      <c r="F8" s="714"/>
      <c r="G8" s="714"/>
      <c r="H8" s="714"/>
      <c r="I8" s="714"/>
    </row>
    <row r="9" spans="1:9" x14ac:dyDescent="0.25">
      <c r="A9" s="714"/>
      <c r="B9" s="714"/>
      <c r="C9" s="714"/>
      <c r="D9" s="714"/>
      <c r="E9" s="714"/>
      <c r="F9" s="714"/>
      <c r="G9" s="714"/>
      <c r="H9" s="714"/>
      <c r="I9" s="714"/>
    </row>
    <row r="10" spans="1:9" x14ac:dyDescent="0.25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 x14ac:dyDescent="0.25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 x14ac:dyDescent="0.25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 x14ac:dyDescent="0.25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 x14ac:dyDescent="0.25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x14ac:dyDescent="0.3">
      <c r="A15" s="418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420" t="s">
        <v>33</v>
      </c>
      <c r="B18" s="745" t="s">
        <v>5</v>
      </c>
      <c r="C18" s="745"/>
      <c r="D18" s="566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75">
        <v>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750" t="s">
        <v>9</v>
      </c>
      <c r="C20" s="750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424"/>
    </row>
    <row r="22" spans="1:14" ht="26.25" customHeight="1" x14ac:dyDescent="0.4">
      <c r="A22" s="420" t="s">
        <v>37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745" t="s">
        <v>140</v>
      </c>
      <c r="C26" s="745"/>
    </row>
    <row r="27" spans="1:14" ht="26.25" customHeight="1" x14ac:dyDescent="0.4">
      <c r="A27" s="429" t="s">
        <v>48</v>
      </c>
      <c r="B27" s="751" t="s">
        <v>144</v>
      </c>
      <c r="C27" s="751"/>
    </row>
    <row r="28" spans="1:14" ht="27" customHeight="1" x14ac:dyDescent="0.4">
      <c r="A28" s="429" t="s">
        <v>6</v>
      </c>
      <c r="B28" s="430">
        <v>99.7</v>
      </c>
    </row>
    <row r="29" spans="1:14" s="3" customFormat="1" ht="27" customHeight="1" x14ac:dyDescent="0.4">
      <c r="A29" s="429" t="s">
        <v>49</v>
      </c>
      <c r="B29" s="431">
        <v>0</v>
      </c>
      <c r="C29" s="721" t="s">
        <v>50</v>
      </c>
      <c r="D29" s="722"/>
      <c r="E29" s="722"/>
      <c r="F29" s="722"/>
      <c r="G29" s="723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99.7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724" t="s">
        <v>53</v>
      </c>
      <c r="D31" s="725"/>
      <c r="E31" s="725"/>
      <c r="F31" s="725"/>
      <c r="G31" s="725"/>
      <c r="H31" s="726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724" t="s">
        <v>55</v>
      </c>
      <c r="D32" s="725"/>
      <c r="E32" s="725"/>
      <c r="F32" s="725"/>
      <c r="G32" s="725"/>
      <c r="H32" s="726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727" t="s">
        <v>59</v>
      </c>
      <c r="E36" s="752"/>
      <c r="F36" s="727" t="s">
        <v>60</v>
      </c>
      <c r="G36" s="728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10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25</v>
      </c>
      <c r="C38" s="451">
        <v>1</v>
      </c>
      <c r="D38" s="697">
        <v>10831975</v>
      </c>
      <c r="E38" s="453">
        <f>IF(ISBLANK(D38),"-",$D$48/$D$45*D38)</f>
        <v>11673963.509439491</v>
      </c>
      <c r="F38" s="697">
        <v>10219114</v>
      </c>
      <c r="G38" s="454">
        <f>IF(ISBLANK(F38),"-",$D$48/$F$45*F38)</f>
        <v>11909214.086877208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698">
        <v>10823231</v>
      </c>
      <c r="E39" s="458">
        <f>IF(ISBLANK(D39),"-",$D$48/$D$45*D39)</f>
        <v>11664539.822907114</v>
      </c>
      <c r="F39" s="698">
        <v>10256447</v>
      </c>
      <c r="G39" s="459">
        <f>IF(ISBLANK(F39),"-",$D$48/$F$45*F39)</f>
        <v>11952721.448621619</v>
      </c>
      <c r="I39" s="729">
        <f>ABS((F43/D43*D42)-F42)/D42</f>
        <v>2.2544637923458087E-2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698">
        <v>10801724</v>
      </c>
      <c r="E40" s="458">
        <f>IF(ISBLANK(D40),"-",$D$48/$D$45*D40)</f>
        <v>11641361.045888379</v>
      </c>
      <c r="F40" s="698">
        <v>10271854</v>
      </c>
      <c r="G40" s="459">
        <f>IF(ISBLANK(F40),"-",$D$48/$F$45*F40)</f>
        <v>11970676.553284952</v>
      </c>
      <c r="I40" s="729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699"/>
      <c r="E41" s="463" t="str">
        <f>IF(ISBLANK(D41),"-",$D$48/$D$45*D41)</f>
        <v>-</v>
      </c>
      <c r="F41" s="699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10818976.666666666</v>
      </c>
      <c r="E42" s="468">
        <f>AVERAGE(E38:E41)</f>
        <v>11659954.792744994</v>
      </c>
      <c r="F42" s="467">
        <f>AVERAGE(F38:F41)</f>
        <v>10249138.333333334</v>
      </c>
      <c r="G42" s="469">
        <f>AVERAGE(G38:G41)</f>
        <v>11944204.029594593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27.92</v>
      </c>
      <c r="E43" s="460"/>
      <c r="F43" s="472">
        <v>25.82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27.92</v>
      </c>
      <c r="E44" s="475"/>
      <c r="F44" s="474">
        <f>F43*$B$34</f>
        <v>25.82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125</v>
      </c>
      <c r="C45" s="473" t="s">
        <v>77</v>
      </c>
      <c r="D45" s="477">
        <f>D44*$B$30/100</f>
        <v>27.836240000000004</v>
      </c>
      <c r="E45" s="478"/>
      <c r="F45" s="477">
        <f>F44*$B$30/100</f>
        <v>25.742539999999998</v>
      </c>
      <c r="H45" s="470"/>
    </row>
    <row r="46" spans="1:14" ht="19.5" customHeight="1" x14ac:dyDescent="0.3">
      <c r="A46" s="715" t="s">
        <v>78</v>
      </c>
      <c r="B46" s="716"/>
      <c r="C46" s="473" t="s">
        <v>79</v>
      </c>
      <c r="D46" s="479">
        <f>D45/$B$45</f>
        <v>0.22268992000000004</v>
      </c>
      <c r="E46" s="480"/>
      <c r="F46" s="481">
        <f>F45/$B$45</f>
        <v>0.20594031999999998</v>
      </c>
      <c r="H46" s="470"/>
    </row>
    <row r="47" spans="1:14" ht="27" customHeight="1" x14ac:dyDescent="0.4">
      <c r="A47" s="717"/>
      <c r="B47" s="718"/>
      <c r="C47" s="482" t="s">
        <v>80</v>
      </c>
      <c r="D47" s="483">
        <v>0.24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11802079.411169795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1.3330347835708131E-2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497" t="s">
        <v>87</v>
      </c>
      <c r="B56" s="498">
        <v>600</v>
      </c>
      <c r="C56" s="419" t="str">
        <f>B20</f>
        <v>Efavirenz 600mg, Lamivudine 300mg and Tenofovir Disoproxil Fumarate 300mg Tablets</v>
      </c>
      <c r="H56" s="499"/>
    </row>
    <row r="57" spans="1:12" ht="18.75" x14ac:dyDescent="0.3">
      <c r="A57" s="496" t="s">
        <v>88</v>
      </c>
      <c r="B57" s="567">
        <f>Uniformity!C46</f>
        <v>1763.6875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89</v>
      </c>
      <c r="B59" s="443">
        <v>200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x14ac:dyDescent="0.4">
      <c r="A60" s="444" t="s">
        <v>93</v>
      </c>
      <c r="B60" s="445">
        <v>2</v>
      </c>
      <c r="C60" s="732" t="s">
        <v>94</v>
      </c>
      <c r="D60" s="735">
        <f>Lamivudine!D60</f>
        <v>1768.58</v>
      </c>
      <c r="E60" s="502">
        <v>1</v>
      </c>
      <c r="F60" s="503">
        <v>12033790</v>
      </c>
      <c r="G60" s="568">
        <f>IF(ISBLANK(F60),"-",(F60/$D$50*$D$47*$B$68)*($B$57/$D$60))</f>
        <v>610.08742529462143</v>
      </c>
      <c r="H60" s="586">
        <f t="shared" ref="H60:H71" si="0">IF(ISBLANK(F60),"-",(G60/$B$56)*100)</f>
        <v>101.68123754910357</v>
      </c>
      <c r="L60" s="432"/>
    </row>
    <row r="61" spans="1:12" s="3" customFormat="1" ht="26.25" customHeight="1" x14ac:dyDescent="0.4">
      <c r="A61" s="444" t="s">
        <v>95</v>
      </c>
      <c r="B61" s="445">
        <v>25</v>
      </c>
      <c r="C61" s="733"/>
      <c r="D61" s="736"/>
      <c r="E61" s="504">
        <v>2</v>
      </c>
      <c r="F61" s="457">
        <v>11997772</v>
      </c>
      <c r="G61" s="569">
        <f>IF(ISBLANK(F61),"-",(F61/$D$50*$D$47*$B$68)*($B$57/$D$60))</f>
        <v>608.26138969949625</v>
      </c>
      <c r="H61" s="587">
        <f t="shared" si="0"/>
        <v>101.37689828324939</v>
      </c>
      <c r="L61" s="432"/>
    </row>
    <row r="62" spans="1:12" s="3" customFormat="1" ht="26.25" customHeight="1" x14ac:dyDescent="0.4">
      <c r="A62" s="444" t="s">
        <v>96</v>
      </c>
      <c r="B62" s="445">
        <v>1</v>
      </c>
      <c r="C62" s="733"/>
      <c r="D62" s="736"/>
      <c r="E62" s="504">
        <v>3</v>
      </c>
      <c r="F62" s="505">
        <v>11962097</v>
      </c>
      <c r="G62" s="569">
        <f>IF(ISBLANK(F62),"-",(F62/$D$50*$D$47*$B$68)*($B$57/$D$60))</f>
        <v>606.45274347105249</v>
      </c>
      <c r="H62" s="587">
        <f t="shared" si="0"/>
        <v>101.07545724517541</v>
      </c>
      <c r="L62" s="432"/>
    </row>
    <row r="63" spans="1:12" ht="27" customHeight="1" x14ac:dyDescent="0.4">
      <c r="A63" s="444" t="s">
        <v>97</v>
      </c>
      <c r="B63" s="445">
        <v>1</v>
      </c>
      <c r="C63" s="742"/>
      <c r="D63" s="737"/>
      <c r="E63" s="506">
        <v>4</v>
      </c>
      <c r="F63" s="507"/>
      <c r="G63" s="569" t="str">
        <f>IF(ISBLANK(F63),"-",(F63/$D$50*$D$47*$B$68)*($B$57/$D$60))</f>
        <v>-</v>
      </c>
      <c r="H63" s="587" t="str">
        <f t="shared" si="0"/>
        <v>-</v>
      </c>
    </row>
    <row r="64" spans="1:12" ht="26.25" customHeight="1" x14ac:dyDescent="0.4">
      <c r="A64" s="444" t="s">
        <v>98</v>
      </c>
      <c r="B64" s="445">
        <v>1</v>
      </c>
      <c r="C64" s="732" t="s">
        <v>99</v>
      </c>
      <c r="D64" s="735">
        <f>Lamivudine!D64</f>
        <v>1768.54</v>
      </c>
      <c r="E64" s="502">
        <v>1</v>
      </c>
      <c r="F64" s="503">
        <v>11685240</v>
      </c>
      <c r="G64" s="568">
        <f>IF(ISBLANK(F64),"-",(F64/$D$50*$D$47*$B$68)*($B$57/$D$64))</f>
        <v>592.43008447892589</v>
      </c>
      <c r="H64" s="586">
        <f t="shared" si="0"/>
        <v>98.738347413154315</v>
      </c>
    </row>
    <row r="65" spans="1:8" ht="26.25" customHeight="1" x14ac:dyDescent="0.4">
      <c r="A65" s="444" t="s">
        <v>100</v>
      </c>
      <c r="B65" s="445">
        <v>1</v>
      </c>
      <c r="C65" s="733"/>
      <c r="D65" s="736"/>
      <c r="E65" s="504">
        <v>2</v>
      </c>
      <c r="F65" s="457">
        <v>11789185</v>
      </c>
      <c r="G65" s="569">
        <f>IF(ISBLANK(F65),"-",(F65/$D$50*$D$47*$B$68)*($B$57/$D$64))</f>
        <v>597.69999293875753</v>
      </c>
      <c r="H65" s="587">
        <f t="shared" si="0"/>
        <v>99.616665489792922</v>
      </c>
    </row>
    <row r="66" spans="1:8" ht="26.25" customHeight="1" x14ac:dyDescent="0.4">
      <c r="A66" s="444" t="s">
        <v>101</v>
      </c>
      <c r="B66" s="445">
        <v>1</v>
      </c>
      <c r="C66" s="733"/>
      <c r="D66" s="736"/>
      <c r="E66" s="504">
        <v>3</v>
      </c>
      <c r="F66" s="457">
        <v>11700822</v>
      </c>
      <c r="G66" s="569">
        <f>IF(ISBLANK(F66),"-",(F66/$D$50*$D$47*$B$68)*($B$57/$D$64))</f>
        <v>593.22007643256586</v>
      </c>
      <c r="H66" s="587">
        <f t="shared" si="0"/>
        <v>98.870012738760977</v>
      </c>
    </row>
    <row r="67" spans="1:8" ht="27" customHeight="1" x14ac:dyDescent="0.4">
      <c r="A67" s="444" t="s">
        <v>102</v>
      </c>
      <c r="B67" s="445">
        <v>1</v>
      </c>
      <c r="C67" s="742"/>
      <c r="D67" s="737"/>
      <c r="E67" s="506">
        <v>4</v>
      </c>
      <c r="F67" s="507"/>
      <c r="G67" s="585" t="str">
        <f>IF(ISBLANK(F67),"-",(F67/$D$50*$D$47*$B$68)*($B$57/$D$64))</f>
        <v>-</v>
      </c>
      <c r="H67" s="588" t="str">
        <f t="shared" si="0"/>
        <v>-</v>
      </c>
    </row>
    <row r="68" spans="1:8" ht="26.25" customHeight="1" x14ac:dyDescent="0.4">
      <c r="A68" s="444" t="s">
        <v>103</v>
      </c>
      <c r="B68" s="508">
        <f>(B67/B66)*(B65/B64)*(B63/B62)*(B61/B60)*B59</f>
        <v>2500</v>
      </c>
      <c r="C68" s="732" t="s">
        <v>104</v>
      </c>
      <c r="D68" s="735">
        <f>Lamivudine!D68</f>
        <v>1770.89</v>
      </c>
      <c r="E68" s="502">
        <v>1</v>
      </c>
      <c r="F68" s="503">
        <v>11611108</v>
      </c>
      <c r="G68" s="568">
        <f>IF(ISBLANK(F68),"-",(F68/$D$50*$D$47*$B$68)*($B$57/$D$68))</f>
        <v>587.89048863532503</v>
      </c>
      <c r="H68" s="587">
        <f t="shared" si="0"/>
        <v>97.981748105887505</v>
      </c>
    </row>
    <row r="69" spans="1:8" ht="27" customHeight="1" x14ac:dyDescent="0.4">
      <c r="A69" s="492" t="s">
        <v>105</v>
      </c>
      <c r="B69" s="509">
        <f>(D47*B68)/B56*B57</f>
        <v>1763.6875</v>
      </c>
      <c r="C69" s="733"/>
      <c r="D69" s="736"/>
      <c r="E69" s="504">
        <v>2</v>
      </c>
      <c r="F69" s="457">
        <v>11751577</v>
      </c>
      <c r="G69" s="569">
        <f>IF(ISBLANK(F69),"-",(F69/$D$50*$D$47*$B$68)*($B$57/$D$68))</f>
        <v>595.00267715756718</v>
      </c>
      <c r="H69" s="587">
        <f t="shared" si="0"/>
        <v>99.167112859594525</v>
      </c>
    </row>
    <row r="70" spans="1:8" ht="26.25" customHeight="1" x14ac:dyDescent="0.4">
      <c r="A70" s="738" t="s">
        <v>78</v>
      </c>
      <c r="B70" s="739"/>
      <c r="C70" s="733"/>
      <c r="D70" s="736"/>
      <c r="E70" s="504">
        <v>3</v>
      </c>
      <c r="F70" s="457">
        <v>11813310</v>
      </c>
      <c r="G70" s="569">
        <f>IF(ISBLANK(F70),"-",(F70/$D$50*$D$47*$B$68)*($B$57/$D$68))</f>
        <v>598.12832576361961</v>
      </c>
      <c r="H70" s="587">
        <f t="shared" si="0"/>
        <v>99.688054293936602</v>
      </c>
    </row>
    <row r="71" spans="1:8" ht="27" customHeight="1" x14ac:dyDescent="0.4">
      <c r="A71" s="740"/>
      <c r="B71" s="741"/>
      <c r="C71" s="734"/>
      <c r="D71" s="737"/>
      <c r="E71" s="506">
        <v>4</v>
      </c>
      <c r="F71" s="507"/>
      <c r="G71" s="585" t="str">
        <f>IF(ISBLANK(F71),"-",(F71/$D$50*$D$47*$B$68)*($B$57/$D$68))</f>
        <v>-</v>
      </c>
      <c r="H71" s="588" t="str">
        <f t="shared" si="0"/>
        <v>-</v>
      </c>
    </row>
    <row r="72" spans="1:8" ht="26.25" customHeight="1" x14ac:dyDescent="0.4">
      <c r="A72" s="510"/>
      <c r="B72" s="510"/>
      <c r="C72" s="510"/>
      <c r="D72" s="510"/>
      <c r="E72" s="510"/>
      <c r="F72" s="512" t="s">
        <v>71</v>
      </c>
      <c r="G72" s="574">
        <f>AVERAGE(G60:G71)</f>
        <v>598.79702265243691</v>
      </c>
      <c r="H72" s="589">
        <f>AVERAGE(H60:H71)</f>
        <v>99.799503775406137</v>
      </c>
    </row>
    <row r="73" spans="1:8" ht="26.25" customHeight="1" x14ac:dyDescent="0.4">
      <c r="C73" s="510"/>
      <c r="D73" s="510"/>
      <c r="E73" s="510"/>
      <c r="F73" s="513" t="s">
        <v>84</v>
      </c>
      <c r="G73" s="573">
        <f>STDEV(G60:G71)/G72</f>
        <v>1.2966807375523384E-2</v>
      </c>
      <c r="H73" s="573">
        <f>STDEV(H60:H71)/H72</f>
        <v>1.2966807375523406E-2</v>
      </c>
    </row>
    <row r="74" spans="1:8" ht="27" customHeight="1" x14ac:dyDescent="0.4">
      <c r="A74" s="510"/>
      <c r="B74" s="510"/>
      <c r="C74" s="511"/>
      <c r="D74" s="511"/>
      <c r="E74" s="514"/>
      <c r="F74" s="515" t="s">
        <v>20</v>
      </c>
      <c r="G74" s="516">
        <f>COUNT(G60:G71)</f>
        <v>9</v>
      </c>
      <c r="H74" s="516">
        <f>COUNT(H60:H71)</f>
        <v>9</v>
      </c>
    </row>
    <row r="76" spans="1:8" ht="26.25" customHeight="1" x14ac:dyDescent="0.4">
      <c r="A76" s="428" t="s">
        <v>106</v>
      </c>
      <c r="B76" s="517" t="s">
        <v>107</v>
      </c>
      <c r="C76" s="719" t="str">
        <f>B26</f>
        <v>Efavirenz</v>
      </c>
      <c r="D76" s="719"/>
      <c r="E76" s="518" t="s">
        <v>108</v>
      </c>
      <c r="F76" s="518"/>
      <c r="G76" s="519">
        <f>H72</f>
        <v>99.799503775406137</v>
      </c>
      <c r="H76" s="520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753" t="str">
        <f>B26</f>
        <v>Efavirenz</v>
      </c>
      <c r="C79" s="753"/>
    </row>
    <row r="80" spans="1:8" ht="26.25" customHeight="1" x14ac:dyDescent="0.4">
      <c r="A80" s="429" t="s">
        <v>48</v>
      </c>
      <c r="B80" s="753" t="str">
        <f>B27</f>
        <v>E35 1</v>
      </c>
      <c r="C80" s="753"/>
    </row>
    <row r="81" spans="1:12" ht="27" customHeight="1" x14ac:dyDescent="0.4">
      <c r="A81" s="429" t="s">
        <v>6</v>
      </c>
      <c r="B81" s="521">
        <f>B28</f>
        <v>99.7</v>
      </c>
    </row>
    <row r="82" spans="1:12" s="3" customFormat="1" ht="27" customHeight="1" x14ac:dyDescent="0.4">
      <c r="A82" s="429" t="s">
        <v>49</v>
      </c>
      <c r="B82" s="431">
        <v>0</v>
      </c>
      <c r="C82" s="721" t="s">
        <v>50</v>
      </c>
      <c r="D82" s="722"/>
      <c r="E82" s="722"/>
      <c r="F82" s="722"/>
      <c r="G82" s="723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99.7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</v>
      </c>
      <c r="C84" s="724" t="s">
        <v>111</v>
      </c>
      <c r="D84" s="725"/>
      <c r="E84" s="725"/>
      <c r="F84" s="725"/>
      <c r="G84" s="725"/>
      <c r="H84" s="726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</v>
      </c>
      <c r="C85" s="724" t="s">
        <v>112</v>
      </c>
      <c r="D85" s="725"/>
      <c r="E85" s="725"/>
      <c r="F85" s="725"/>
      <c r="G85" s="725"/>
      <c r="H85" s="726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1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2" t="s">
        <v>59</v>
      </c>
      <c r="E89" s="523"/>
      <c r="F89" s="727" t="s">
        <v>60</v>
      </c>
      <c r="G89" s="728"/>
    </row>
    <row r="90" spans="1:12" ht="27" customHeight="1" x14ac:dyDescent="0.4">
      <c r="A90" s="444" t="s">
        <v>61</v>
      </c>
      <c r="B90" s="445">
        <v>1</v>
      </c>
      <c r="C90" s="524" t="s">
        <v>62</v>
      </c>
      <c r="D90" s="447" t="s">
        <v>63</v>
      </c>
      <c r="E90" s="448" t="s">
        <v>64</v>
      </c>
      <c r="F90" s="447" t="s">
        <v>63</v>
      </c>
      <c r="G90" s="525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1</v>
      </c>
      <c r="C91" s="526">
        <v>1</v>
      </c>
      <c r="D91" s="697">
        <v>36606538</v>
      </c>
      <c r="E91" s="453">
        <f>IF(ISBLANK(D91),"-",$D$101/$D$98*D91)</f>
        <v>45441445.624000713</v>
      </c>
      <c r="F91" s="697">
        <v>37139183</v>
      </c>
      <c r="G91" s="454">
        <f>IF(ISBLANK(F91),"-",$D$101/$F$98*F91)</f>
        <v>45262376.43672207</v>
      </c>
      <c r="I91" s="455"/>
    </row>
    <row r="92" spans="1:12" ht="26.25" customHeight="1" x14ac:dyDescent="0.4">
      <c r="A92" s="444" t="s">
        <v>67</v>
      </c>
      <c r="B92" s="445">
        <v>1</v>
      </c>
      <c r="C92" s="511">
        <v>2</v>
      </c>
      <c r="D92" s="698">
        <v>36606066</v>
      </c>
      <c r="E92" s="458">
        <f>IF(ISBLANK(D92),"-",$D$101/$D$98*D92)</f>
        <v>45440859.707836382</v>
      </c>
      <c r="F92" s="698">
        <v>37181406</v>
      </c>
      <c r="G92" s="459">
        <f>IF(ISBLANK(F92),"-",$D$101/$F$98*F92)</f>
        <v>45313834.577852629</v>
      </c>
      <c r="I92" s="729">
        <f>ABS((F96/D96*D95)-F95)/D95</f>
        <v>3.2512599207742045E-3</v>
      </c>
    </row>
    <row r="93" spans="1:12" ht="26.25" customHeight="1" x14ac:dyDescent="0.4">
      <c r="A93" s="444" t="s">
        <v>68</v>
      </c>
      <c r="B93" s="445">
        <v>1</v>
      </c>
      <c r="C93" s="511">
        <v>3</v>
      </c>
      <c r="D93" s="698">
        <v>36628015</v>
      </c>
      <c r="E93" s="458">
        <f>IF(ISBLANK(D93),"-",$D$101/$D$98*D93)</f>
        <v>45468106.050825745</v>
      </c>
      <c r="F93" s="698">
        <v>37202030</v>
      </c>
      <c r="G93" s="459">
        <f>IF(ISBLANK(F93),"-",$D$101/$F$98*F93)</f>
        <v>45338969.520956546</v>
      </c>
      <c r="I93" s="729"/>
    </row>
    <row r="94" spans="1:12" ht="27" customHeight="1" x14ac:dyDescent="0.4">
      <c r="A94" s="444" t="s">
        <v>69</v>
      </c>
      <c r="B94" s="445">
        <v>1</v>
      </c>
      <c r="C94" s="527">
        <v>4</v>
      </c>
      <c r="D94" s="699"/>
      <c r="E94" s="463" t="str">
        <f>IF(ISBLANK(D94),"-",$D$101/$D$98*D94)</f>
        <v>-</v>
      </c>
      <c r="F94" s="700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29" t="s">
        <v>71</v>
      </c>
      <c r="D95" s="530">
        <f>AVERAGE(D91:D94)</f>
        <v>36613539.666666664</v>
      </c>
      <c r="E95" s="468">
        <f>AVERAGE(E91:E94)</f>
        <v>45450137.127554275</v>
      </c>
      <c r="F95" s="531">
        <f>AVERAGE(F91:F94)</f>
        <v>37174206.333333336</v>
      </c>
      <c r="G95" s="532">
        <f>AVERAGE(G91:G94)</f>
        <v>45305060.17851042</v>
      </c>
    </row>
    <row r="96" spans="1:12" ht="26.25" customHeight="1" x14ac:dyDescent="0.4">
      <c r="A96" s="444" t="s">
        <v>72</v>
      </c>
      <c r="B96" s="430">
        <v>1</v>
      </c>
      <c r="C96" s="533" t="s">
        <v>113</v>
      </c>
      <c r="D96" s="534">
        <v>24.24</v>
      </c>
      <c r="E96" s="460"/>
      <c r="F96" s="472">
        <v>24.69</v>
      </c>
    </row>
    <row r="97" spans="1:10" ht="26.25" customHeight="1" x14ac:dyDescent="0.4">
      <c r="A97" s="444" t="s">
        <v>74</v>
      </c>
      <c r="B97" s="430">
        <v>1</v>
      </c>
      <c r="C97" s="535" t="s">
        <v>114</v>
      </c>
      <c r="D97" s="536">
        <f>D96*$B$87</f>
        <v>24.24</v>
      </c>
      <c r="E97" s="475"/>
      <c r="F97" s="474">
        <f>F96*$B$87</f>
        <v>24.69</v>
      </c>
    </row>
    <row r="98" spans="1:10" ht="19.5" customHeight="1" x14ac:dyDescent="0.3">
      <c r="A98" s="444" t="s">
        <v>76</v>
      </c>
      <c r="B98" s="537">
        <f>(B97/B96)*(B95/B94)*(B93/B92)*(B91/B90)*B89</f>
        <v>50</v>
      </c>
      <c r="C98" s="535" t="s">
        <v>115</v>
      </c>
      <c r="D98" s="538">
        <f>D97*$B$83/100</f>
        <v>24.167280000000002</v>
      </c>
      <c r="E98" s="478"/>
      <c r="F98" s="477">
        <f>F97*$B$83/100</f>
        <v>24.615930000000002</v>
      </c>
    </row>
    <row r="99" spans="1:10" ht="19.5" customHeight="1" x14ac:dyDescent="0.3">
      <c r="A99" s="715" t="s">
        <v>78</v>
      </c>
      <c r="B99" s="730"/>
      <c r="C99" s="535" t="s">
        <v>116</v>
      </c>
      <c r="D99" s="539">
        <f>D98/$B$98</f>
        <v>0.48334560000000004</v>
      </c>
      <c r="E99" s="478"/>
      <c r="F99" s="481">
        <f>F98/$B$98</f>
        <v>0.49231860000000005</v>
      </c>
      <c r="G99" s="540"/>
      <c r="H99" s="470"/>
    </row>
    <row r="100" spans="1:10" ht="19.5" customHeight="1" x14ac:dyDescent="0.3">
      <c r="A100" s="717"/>
      <c r="B100" s="731"/>
      <c r="C100" s="535" t="s">
        <v>80</v>
      </c>
      <c r="D100" s="541">
        <f>$B$56/$B$116</f>
        <v>0.6</v>
      </c>
      <c r="F100" s="486"/>
      <c r="G100" s="542"/>
      <c r="H100" s="470"/>
    </row>
    <row r="101" spans="1:10" ht="18.75" x14ac:dyDescent="0.3">
      <c r="C101" s="535" t="s">
        <v>81</v>
      </c>
      <c r="D101" s="536">
        <f>D100*$B$98</f>
        <v>30</v>
      </c>
      <c r="F101" s="486"/>
      <c r="G101" s="540"/>
      <c r="H101" s="470"/>
    </row>
    <row r="102" spans="1:10" ht="19.5" customHeight="1" x14ac:dyDescent="0.3">
      <c r="C102" s="543" t="s">
        <v>82</v>
      </c>
      <c r="D102" s="544">
        <f>D101/B34</f>
        <v>30</v>
      </c>
      <c r="F102" s="490"/>
      <c r="G102" s="540"/>
      <c r="H102" s="470"/>
      <c r="J102" s="545"/>
    </row>
    <row r="103" spans="1:10" ht="18.75" x14ac:dyDescent="0.3">
      <c r="C103" s="546" t="s">
        <v>117</v>
      </c>
      <c r="D103" s="547">
        <f>AVERAGE(E91:E94,G91:G94)</f>
        <v>45377598.65303234</v>
      </c>
      <c r="F103" s="490"/>
      <c r="G103" s="548"/>
      <c r="H103" s="470"/>
      <c r="J103" s="549"/>
    </row>
    <row r="104" spans="1:10" ht="18.75" x14ac:dyDescent="0.3">
      <c r="C104" s="513" t="s">
        <v>84</v>
      </c>
      <c r="D104" s="550">
        <f>STDEV(E91:E94,G91:G94)/D103</f>
        <v>1.8465161183346649E-3</v>
      </c>
      <c r="F104" s="490"/>
      <c r="G104" s="540"/>
      <c r="H104" s="470"/>
      <c r="J104" s="549"/>
    </row>
    <row r="105" spans="1:10" ht="19.5" customHeight="1" x14ac:dyDescent="0.3">
      <c r="C105" s="515" t="s">
        <v>20</v>
      </c>
      <c r="D105" s="551">
        <f>COUNT(E91:E94,G91:G94)</f>
        <v>6</v>
      </c>
      <c r="F105" s="490"/>
      <c r="G105" s="540"/>
      <c r="H105" s="470"/>
      <c r="J105" s="549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7" customHeight="1" x14ac:dyDescent="0.4">
      <c r="A107" s="442" t="s">
        <v>118</v>
      </c>
      <c r="B107" s="443">
        <v>1000</v>
      </c>
      <c r="C107" s="590" t="s">
        <v>119</v>
      </c>
      <c r="D107" s="590" t="s">
        <v>63</v>
      </c>
      <c r="E107" s="590" t="s">
        <v>120</v>
      </c>
      <c r="F107" s="552" t="s">
        <v>121</v>
      </c>
    </row>
    <row r="108" spans="1:10" ht="26.25" customHeight="1" x14ac:dyDescent="0.4">
      <c r="A108" s="444" t="s">
        <v>122</v>
      </c>
      <c r="B108" s="445">
        <v>1</v>
      </c>
      <c r="C108" s="595">
        <v>1</v>
      </c>
      <c r="D108" s="596">
        <v>43881318</v>
      </c>
      <c r="E108" s="570">
        <f t="shared" ref="E108:E113" si="1">IF(ISBLANK(D108),"-",D108/$D$103*$D$100*$B$116)</f>
        <v>580.21560376775449</v>
      </c>
      <c r="F108" s="597">
        <f t="shared" ref="F108:F113" si="2">IF(ISBLANK(D108), "-", (E108/$B$56)*100)</f>
        <v>96.702600627959072</v>
      </c>
    </row>
    <row r="109" spans="1:10" ht="26.25" customHeight="1" x14ac:dyDescent="0.4">
      <c r="A109" s="444" t="s">
        <v>95</v>
      </c>
      <c r="B109" s="445">
        <v>1</v>
      </c>
      <c r="C109" s="591">
        <v>2</v>
      </c>
      <c r="D109" s="593">
        <v>44295464</v>
      </c>
      <c r="E109" s="571">
        <f t="shared" si="1"/>
        <v>585.69160089796821</v>
      </c>
      <c r="F109" s="598">
        <f t="shared" si="2"/>
        <v>97.615266816328045</v>
      </c>
    </row>
    <row r="110" spans="1:10" ht="26.25" customHeight="1" x14ac:dyDescent="0.4">
      <c r="A110" s="444" t="s">
        <v>96</v>
      </c>
      <c r="B110" s="445">
        <v>1</v>
      </c>
      <c r="C110" s="591">
        <v>3</v>
      </c>
      <c r="D110" s="593">
        <v>43961908</v>
      </c>
      <c r="E110" s="571">
        <f t="shared" si="1"/>
        <v>581.28119563324128</v>
      </c>
      <c r="F110" s="598">
        <f t="shared" si="2"/>
        <v>96.88019927220688</v>
      </c>
    </row>
    <row r="111" spans="1:10" ht="26.25" customHeight="1" x14ac:dyDescent="0.4">
      <c r="A111" s="444" t="s">
        <v>97</v>
      </c>
      <c r="B111" s="445">
        <v>1</v>
      </c>
      <c r="C111" s="591">
        <v>4</v>
      </c>
      <c r="D111" s="593">
        <v>43841592</v>
      </c>
      <c r="E111" s="571">
        <f t="shared" si="1"/>
        <v>579.69033137107579</v>
      </c>
      <c r="F111" s="598">
        <f t="shared" si="2"/>
        <v>96.615055228512631</v>
      </c>
    </row>
    <row r="112" spans="1:10" ht="26.25" customHeight="1" x14ac:dyDescent="0.4">
      <c r="A112" s="444" t="s">
        <v>98</v>
      </c>
      <c r="B112" s="445">
        <v>1</v>
      </c>
      <c r="C112" s="591">
        <v>5</v>
      </c>
      <c r="D112" s="593">
        <v>43909351</v>
      </c>
      <c r="E112" s="571">
        <f t="shared" si="1"/>
        <v>580.58626683718228</v>
      </c>
      <c r="F112" s="598">
        <f t="shared" si="2"/>
        <v>96.764377806197047</v>
      </c>
    </row>
    <row r="113" spans="1:10" ht="27" customHeight="1" x14ac:dyDescent="0.4">
      <c r="A113" s="444" t="s">
        <v>100</v>
      </c>
      <c r="B113" s="445">
        <v>1</v>
      </c>
      <c r="C113" s="592">
        <v>6</v>
      </c>
      <c r="D113" s="594">
        <v>43960463</v>
      </c>
      <c r="E113" s="572">
        <f t="shared" si="1"/>
        <v>581.2620892894563</v>
      </c>
      <c r="F113" s="599">
        <f t="shared" si="2"/>
        <v>96.877014881576045</v>
      </c>
    </row>
    <row r="114" spans="1:10" ht="27" customHeight="1" x14ac:dyDescent="0.4">
      <c r="A114" s="444" t="s">
        <v>101</v>
      </c>
      <c r="B114" s="445">
        <v>1</v>
      </c>
      <c r="C114" s="553"/>
      <c r="D114" s="511"/>
      <c r="E114" s="418"/>
      <c r="F114" s="600"/>
    </row>
    <row r="115" spans="1:10" ht="26.25" customHeight="1" x14ac:dyDescent="0.4">
      <c r="A115" s="444" t="s">
        <v>102</v>
      </c>
      <c r="B115" s="445">
        <v>1</v>
      </c>
      <c r="C115" s="553"/>
      <c r="D115" s="577" t="s">
        <v>71</v>
      </c>
      <c r="E115" s="579">
        <f>AVERAGE(E108:E113)</f>
        <v>581.45451463277971</v>
      </c>
      <c r="F115" s="601">
        <f>AVERAGE(F108:F113)</f>
        <v>96.909085772129956</v>
      </c>
    </row>
    <row r="116" spans="1:10" ht="27" customHeight="1" x14ac:dyDescent="0.4">
      <c r="A116" s="444" t="s">
        <v>103</v>
      </c>
      <c r="B116" s="476">
        <f>(B115/B114)*(B113/B112)*(B111/B110)*(B109/B108)*B107</f>
        <v>1000</v>
      </c>
      <c r="C116" s="554"/>
      <c r="D116" s="578" t="s">
        <v>84</v>
      </c>
      <c r="E116" s="576">
        <f>STDEV(E108:E113)/E115</f>
        <v>3.7222244791384734E-3</v>
      </c>
      <c r="F116" s="555">
        <f>STDEV(F108:F113)/F115</f>
        <v>3.7222244791385241E-3</v>
      </c>
      <c r="I116" s="418"/>
    </row>
    <row r="117" spans="1:10" ht="27" customHeight="1" x14ac:dyDescent="0.4">
      <c r="A117" s="715" t="s">
        <v>78</v>
      </c>
      <c r="B117" s="716"/>
      <c r="C117" s="556"/>
      <c r="D117" s="515" t="s">
        <v>20</v>
      </c>
      <c r="E117" s="581">
        <f>COUNT(E108:E113)</f>
        <v>6</v>
      </c>
      <c r="F117" s="582">
        <f>COUNT(F108:F113)</f>
        <v>6</v>
      </c>
      <c r="I117" s="418"/>
      <c r="J117" s="549"/>
    </row>
    <row r="118" spans="1:10" ht="26.25" customHeight="1" x14ac:dyDescent="0.3">
      <c r="A118" s="717"/>
      <c r="B118" s="718"/>
      <c r="C118" s="418"/>
      <c r="D118" s="580"/>
      <c r="E118" s="743" t="s">
        <v>123</v>
      </c>
      <c r="F118" s="744"/>
      <c r="G118" s="418"/>
      <c r="H118" s="418"/>
      <c r="I118" s="418"/>
    </row>
    <row r="119" spans="1:10" ht="25.5" customHeight="1" x14ac:dyDescent="0.4">
      <c r="A119" s="565"/>
      <c r="B119" s="440"/>
      <c r="C119" s="418"/>
      <c r="D119" s="578" t="s">
        <v>124</v>
      </c>
      <c r="E119" s="583">
        <f>MIN(E108:E113)</f>
        <v>579.69033137107579</v>
      </c>
      <c r="F119" s="602">
        <f>MIN(F108:F113)</f>
        <v>96.615055228512631</v>
      </c>
      <c r="G119" s="418"/>
      <c r="H119" s="418"/>
      <c r="I119" s="418"/>
    </row>
    <row r="120" spans="1:10" ht="24" customHeight="1" x14ac:dyDescent="0.4">
      <c r="A120" s="565"/>
      <c r="B120" s="440"/>
      <c r="C120" s="418"/>
      <c r="D120" s="487" t="s">
        <v>125</v>
      </c>
      <c r="E120" s="584">
        <f>MAX(E108:E113)</f>
        <v>585.69160089796821</v>
      </c>
      <c r="F120" s="603">
        <f>MAX(F108:F113)</f>
        <v>97.615266816328045</v>
      </c>
      <c r="G120" s="418"/>
      <c r="H120" s="418"/>
      <c r="I120" s="418"/>
    </row>
    <row r="121" spans="1:10" ht="27" customHeight="1" x14ac:dyDescent="0.3">
      <c r="A121" s="565"/>
      <c r="B121" s="440"/>
      <c r="C121" s="418"/>
      <c r="D121" s="418"/>
      <c r="E121" s="418"/>
      <c r="F121" s="511"/>
      <c r="G121" s="418"/>
      <c r="H121" s="418"/>
      <c r="I121" s="418"/>
    </row>
    <row r="122" spans="1:10" ht="25.5" customHeight="1" x14ac:dyDescent="0.3">
      <c r="A122" s="565"/>
      <c r="B122" s="440"/>
      <c r="C122" s="418"/>
      <c r="D122" s="418"/>
      <c r="E122" s="418"/>
      <c r="F122" s="511"/>
      <c r="G122" s="418"/>
      <c r="H122" s="418"/>
      <c r="I122" s="418"/>
    </row>
    <row r="123" spans="1:10" ht="18.75" x14ac:dyDescent="0.3">
      <c r="A123" s="565"/>
      <c r="B123" s="440"/>
      <c r="C123" s="418"/>
      <c r="D123" s="418"/>
      <c r="E123" s="418"/>
      <c r="F123" s="511"/>
      <c r="G123" s="418"/>
      <c r="H123" s="418"/>
      <c r="I123" s="418"/>
    </row>
    <row r="124" spans="1:10" ht="45.75" customHeight="1" x14ac:dyDescent="0.65">
      <c r="A124" s="428" t="s">
        <v>106</v>
      </c>
      <c r="B124" s="517" t="s">
        <v>126</v>
      </c>
      <c r="C124" s="719" t="str">
        <f>B26</f>
        <v>Efavirenz</v>
      </c>
      <c r="D124" s="719"/>
      <c r="E124" s="518" t="s">
        <v>127</v>
      </c>
      <c r="F124" s="518"/>
      <c r="G124" s="604">
        <f>F115</f>
        <v>96.909085772129956</v>
      </c>
      <c r="H124" s="418"/>
      <c r="I124" s="418"/>
    </row>
    <row r="125" spans="1:10" ht="45.75" customHeight="1" x14ac:dyDescent="0.65">
      <c r="A125" s="428"/>
      <c r="B125" s="517" t="s">
        <v>128</v>
      </c>
      <c r="C125" s="429" t="s">
        <v>129</v>
      </c>
      <c r="D125" s="604">
        <f>MIN(F108:F113)</f>
        <v>96.615055228512631</v>
      </c>
      <c r="E125" s="529" t="s">
        <v>130</v>
      </c>
      <c r="F125" s="604">
        <f>MAX(F108:F113)</f>
        <v>97.615266816328045</v>
      </c>
      <c r="G125" s="519"/>
      <c r="H125" s="418"/>
      <c r="I125" s="418"/>
    </row>
    <row r="126" spans="1:10" ht="19.5" customHeight="1" x14ac:dyDescent="0.3">
      <c r="A126" s="557"/>
      <c r="B126" s="557"/>
      <c r="C126" s="558"/>
      <c r="D126" s="558"/>
      <c r="E126" s="558"/>
      <c r="F126" s="558"/>
      <c r="G126" s="558"/>
      <c r="H126" s="558"/>
    </row>
    <row r="127" spans="1:10" ht="18.75" x14ac:dyDescent="0.3">
      <c r="B127" s="720" t="s">
        <v>26</v>
      </c>
      <c r="C127" s="720"/>
      <c r="E127" s="524" t="s">
        <v>27</v>
      </c>
      <c r="F127" s="559"/>
      <c r="G127" s="720" t="s">
        <v>28</v>
      </c>
      <c r="H127" s="720"/>
    </row>
    <row r="128" spans="1:10" ht="69.95" customHeight="1" x14ac:dyDescent="0.3">
      <c r="A128" s="560" t="s">
        <v>29</v>
      </c>
      <c r="B128" s="561"/>
      <c r="C128" s="561"/>
      <c r="E128" s="561"/>
      <c r="F128" s="418"/>
      <c r="G128" s="562"/>
      <c r="H128" s="562"/>
    </row>
    <row r="129" spans="1:9" ht="69.95" customHeight="1" x14ac:dyDescent="0.3">
      <c r="A129" s="560" t="s">
        <v>30</v>
      </c>
      <c r="B129" s="563"/>
      <c r="C129" s="563"/>
      <c r="E129" s="563"/>
      <c r="F129" s="418"/>
      <c r="G129" s="564"/>
      <c r="H129" s="564"/>
    </row>
    <row r="130" spans="1:9" ht="18.75" x14ac:dyDescent="0.3">
      <c r="A130" s="510"/>
      <c r="B130" s="510"/>
      <c r="C130" s="511"/>
      <c r="D130" s="511"/>
      <c r="E130" s="511"/>
      <c r="F130" s="514"/>
      <c r="G130" s="511"/>
      <c r="H130" s="511"/>
      <c r="I130" s="418"/>
    </row>
    <row r="131" spans="1:9" ht="18.75" x14ac:dyDescent="0.3">
      <c r="A131" s="510"/>
      <c r="B131" s="510"/>
      <c r="C131" s="511"/>
      <c r="D131" s="511"/>
      <c r="E131" s="511"/>
      <c r="F131" s="514"/>
      <c r="G131" s="511"/>
      <c r="H131" s="511"/>
      <c r="I131" s="418"/>
    </row>
    <row r="132" spans="1:9" ht="18.75" x14ac:dyDescent="0.3">
      <c r="A132" s="510"/>
      <c r="B132" s="510"/>
      <c r="C132" s="511"/>
      <c r="D132" s="511"/>
      <c r="E132" s="511"/>
      <c r="F132" s="514"/>
      <c r="G132" s="511"/>
      <c r="H132" s="511"/>
      <c r="I132" s="418"/>
    </row>
    <row r="133" spans="1:9" ht="18.75" x14ac:dyDescent="0.3">
      <c r="A133" s="510"/>
      <c r="B133" s="510"/>
      <c r="C133" s="511"/>
      <c r="D133" s="511"/>
      <c r="E133" s="511"/>
      <c r="F133" s="514"/>
      <c r="G133" s="511"/>
      <c r="H133" s="511"/>
      <c r="I133" s="418"/>
    </row>
    <row r="134" spans="1:9" ht="18.75" x14ac:dyDescent="0.3">
      <c r="A134" s="510"/>
      <c r="B134" s="510"/>
      <c r="C134" s="511"/>
      <c r="D134" s="511"/>
      <c r="E134" s="511"/>
      <c r="F134" s="514"/>
      <c r="G134" s="511"/>
      <c r="H134" s="511"/>
      <c r="I134" s="418"/>
    </row>
    <row r="135" spans="1:9" ht="18.75" x14ac:dyDescent="0.3">
      <c r="A135" s="510"/>
      <c r="B135" s="510"/>
      <c r="C135" s="511"/>
      <c r="D135" s="511"/>
      <c r="E135" s="511"/>
      <c r="F135" s="514"/>
      <c r="G135" s="511"/>
      <c r="H135" s="511"/>
      <c r="I135" s="418"/>
    </row>
    <row r="136" spans="1:9" ht="18.75" x14ac:dyDescent="0.3">
      <c r="A136" s="510"/>
      <c r="B136" s="510"/>
      <c r="C136" s="511"/>
      <c r="D136" s="511"/>
      <c r="E136" s="511"/>
      <c r="F136" s="514"/>
      <c r="G136" s="511"/>
      <c r="H136" s="511"/>
      <c r="I136" s="418"/>
    </row>
    <row r="137" spans="1:9" ht="18.75" x14ac:dyDescent="0.3">
      <c r="A137" s="510"/>
      <c r="B137" s="510"/>
      <c r="C137" s="511"/>
      <c r="D137" s="511"/>
      <c r="E137" s="511"/>
      <c r="F137" s="514"/>
      <c r="G137" s="511"/>
      <c r="H137" s="511"/>
      <c r="I137" s="418"/>
    </row>
    <row r="138" spans="1:9" ht="18.75" x14ac:dyDescent="0.3">
      <c r="A138" s="510"/>
      <c r="B138" s="510"/>
      <c r="C138" s="511"/>
      <c r="D138" s="511"/>
      <c r="E138" s="511"/>
      <c r="F138" s="514"/>
      <c r="G138" s="511"/>
      <c r="H138" s="511"/>
      <c r="I138" s="41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Lamivudine</vt:lpstr>
      <vt:lpstr>TDF</vt:lpstr>
      <vt:lpstr>Efavirenz</vt:lpstr>
      <vt:lpstr>Efavirenz!Print_Area</vt:lpstr>
      <vt:lpstr>Lamivudine!Print_Area</vt:lpstr>
      <vt:lpstr>TDF!Print_Area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2016-11-16T07:29:05Z</cp:lastPrinted>
  <dcterms:created xsi:type="dcterms:W3CDTF">2005-07-05T10:19:27Z</dcterms:created>
  <dcterms:modified xsi:type="dcterms:W3CDTF">2017-03-22T12:44:48Z</dcterms:modified>
  <cp:category/>
</cp:coreProperties>
</file>