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LC2_NQCL\Desktop\SARAH K\"/>
    </mc:Choice>
  </mc:AlternateContent>
  <bookViews>
    <workbookView xWindow="0" yWindow="0" windowWidth="20490" windowHeight="7755"/>
  </bookViews>
  <sheets>
    <sheet name="SST" sheetId="1" r:id="rId1"/>
    <sheet name="Uniformity" sheetId="2" r:id="rId2"/>
    <sheet name="Darunavir" sheetId="3" r:id="rId3"/>
  </sheets>
  <definedNames>
    <definedName name="_xlnm.Print_Area" localSheetId="1">Uniformity!$A$1:$F$54</definedName>
  </definedNames>
  <calcPr calcId="152511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7" i="3"/>
  <c r="F95" i="3"/>
  <c r="D95" i="3"/>
  <c r="B87" i="3"/>
  <c r="D97" i="3" s="1"/>
  <c r="B83" i="3"/>
  <c r="B81" i="3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F45" i="3" s="1"/>
  <c r="B30" i="3"/>
  <c r="D50" i="2"/>
  <c r="B49" i="2"/>
  <c r="C46" i="2"/>
  <c r="B57" i="3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E92" i="3" s="1"/>
  <c r="I39" i="3"/>
  <c r="F46" i="3"/>
  <c r="D44" i="3"/>
  <c r="D45" i="3" s="1"/>
  <c r="D98" i="3"/>
  <c r="D99" i="3" s="1"/>
  <c r="F98" i="3"/>
  <c r="F99" i="3" s="1"/>
  <c r="G39" i="3"/>
  <c r="G38" i="3"/>
  <c r="G40" i="3"/>
  <c r="G41" i="3"/>
  <c r="D49" i="3"/>
  <c r="C50" i="2"/>
  <c r="D27" i="2"/>
  <c r="D31" i="2"/>
  <c r="D35" i="2"/>
  <c r="D39" i="2"/>
  <c r="D43" i="2"/>
  <c r="C49" i="2"/>
  <c r="D24" i="2"/>
  <c r="D28" i="2"/>
  <c r="D32" i="2"/>
  <c r="D36" i="2"/>
  <c r="D40" i="2"/>
  <c r="D49" i="2"/>
  <c r="G91" i="3" l="1"/>
  <c r="E91" i="3"/>
  <c r="E93" i="3"/>
  <c r="G93" i="3"/>
  <c r="D102" i="3"/>
  <c r="D46" i="3"/>
  <c r="E38" i="3"/>
  <c r="G42" i="3"/>
  <c r="E40" i="3"/>
  <c r="G92" i="3"/>
  <c r="G94" i="3"/>
  <c r="E39" i="3"/>
  <c r="E94" i="3"/>
  <c r="E41" i="3"/>
  <c r="D103" i="3" l="1"/>
  <c r="E109" i="3" s="1"/>
  <c r="F109" i="3" s="1"/>
  <c r="D50" i="3"/>
  <c r="G68" i="3" s="1"/>
  <c r="H68" i="3" s="1"/>
  <c r="G95" i="3"/>
  <c r="D105" i="3"/>
  <c r="D52" i="3"/>
  <c r="E42" i="3"/>
  <c r="E95" i="3"/>
  <c r="D51" i="3"/>
  <c r="G62" i="3"/>
  <c r="H62" i="3" s="1"/>
  <c r="E111" i="3" l="1"/>
  <c r="F111" i="3" s="1"/>
  <c r="E113" i="3"/>
  <c r="F113" i="3" s="1"/>
  <c r="E112" i="3"/>
  <c r="F112" i="3" s="1"/>
  <c r="E110" i="3"/>
  <c r="F110" i="3" s="1"/>
  <c r="D104" i="3"/>
  <c r="E108" i="3"/>
  <c r="G69" i="3"/>
  <c r="H69" i="3" s="1"/>
  <c r="G61" i="3"/>
  <c r="H61" i="3" s="1"/>
  <c r="G65" i="3"/>
  <c r="H65" i="3" s="1"/>
  <c r="G64" i="3"/>
  <c r="H64" i="3" s="1"/>
  <c r="G67" i="3"/>
  <c r="H67" i="3" s="1"/>
  <c r="G60" i="3"/>
  <c r="H60" i="3" s="1"/>
  <c r="G71" i="3"/>
  <c r="H71" i="3" s="1"/>
  <c r="G70" i="3"/>
  <c r="H70" i="3" s="1"/>
  <c r="G66" i="3"/>
  <c r="H66" i="3" s="1"/>
  <c r="G63" i="3"/>
  <c r="H63" i="3" s="1"/>
  <c r="E119" i="3" l="1"/>
  <c r="F108" i="3"/>
  <c r="F119" i="3" s="1"/>
  <c r="E117" i="3"/>
  <c r="E115" i="3"/>
  <c r="E116" i="3" s="1"/>
  <c r="E120" i="3"/>
  <c r="G72" i="3"/>
  <c r="G73" i="3" s="1"/>
  <c r="G74" i="3"/>
  <c r="H74" i="3"/>
  <c r="H72" i="3"/>
  <c r="F120" i="3"/>
  <c r="F125" i="3" l="1"/>
  <c r="F117" i="3"/>
  <c r="F115" i="3"/>
  <c r="F116" i="3" s="1"/>
  <c r="D125" i="3"/>
  <c r="G76" i="3"/>
  <c r="H73" i="3"/>
  <c r="G124" i="3"/>
</calcChain>
</file>

<file path=xl/sharedStrings.xml><?xml version="1.0" encoding="utf-8"?>
<sst xmlns="http://schemas.openxmlformats.org/spreadsheetml/2006/main" count="238" uniqueCount="133">
  <si>
    <t>HPLC System Suitability Report</t>
  </si>
  <si>
    <t>Analysis Data</t>
  </si>
  <si>
    <t>Assay</t>
  </si>
  <si>
    <t>Sample(s)</t>
  </si>
  <si>
    <t>Reference Substance:</t>
  </si>
  <si>
    <t>DARUNAVIR (AS ETHANOLATE) TABLETS 800 MG</t>
  </si>
  <si>
    <t>% age Purity:</t>
  </si>
  <si>
    <t>NDQD201608060</t>
  </si>
  <si>
    <t>Weight (mg):</t>
  </si>
  <si>
    <t>Darunavir</t>
  </si>
  <si>
    <t>Standard Conc (mg/mL):</t>
  </si>
  <si>
    <t>Each film coated tablet contains Darunavir (as Ethinolate) equivalent to Darunavir 800 mg</t>
  </si>
  <si>
    <t>2016-08-04 14:09:46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</si>
  <si>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</si>
  <si>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</si>
  <si>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</si>
  <si>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</si>
  <si>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</si>
  <si>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</si>
  <si>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</si>
  <si>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</si>
  <si>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</si>
  <si>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</si>
  <si>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</si>
  <si>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</si>
  <si>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</si>
  <si>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</si>
  <si>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</si>
  <si>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</si>
  <si>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</si>
  <si>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</si>
  <si>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</si>
  <si>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</si>
  <si>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</si>
  <si>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</si>
  <si>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</si>
  <si>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</si>
  <si>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</si>
  <si>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</si>
  <si>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</si>
  <si>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</si>
  <si>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</si>
  <si>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</si>
  <si>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</si>
  <si>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</si>
  <si>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</si>
  <si>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</si>
  <si>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</si>
  <si>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</si>
  <si>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NQCL-WRS-D2-1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</si>
  <si>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</si>
  <si>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</si>
  <si>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</si>
  <si>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</si>
  <si>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</si>
  <si>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</si>
  <si>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</si>
  <si>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</si>
  <si>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</si>
  <si>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</si>
  <si>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</si>
  <si>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</si>
  <si>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</si>
  <si>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</si>
  <si>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</si>
  <si>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</si>
  <si>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</si>
  <si>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</si>
  <si>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</si>
  <si>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</si>
  <si>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</si>
  <si>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</si>
  <si>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</si>
  <si>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</si>
  <si>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</si>
  <si>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</si>
  <si>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</si>
  <si>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</si>
  <si>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</si>
  <si>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</si>
  <si>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</si>
  <si>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</si>
  <si>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</si>
  <si>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</si>
  <si>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</si>
  <si>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</si>
  <si>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</si>
  <si>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</si>
  <si>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</si>
  <si>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</si>
  <si>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</si>
  <si>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</si>
  <si>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</si>
  <si>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</si>
  <si>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</si>
  <si>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</si>
  <si>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</si>
  <si>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</si>
  <si>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</si>
  <si>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</si>
  <si>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</si>
  <si>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</si>
  <si>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</si>
  <si>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</si>
  <si>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</si>
  <si>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</si>
  <si>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</si>
  <si>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</si>
  <si>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</si>
  <si>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</si>
  <si>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</si>
  <si>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</si>
  <si>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</si>
  <si>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</si>
  <si>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</si>
  <si>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</si>
  <si>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</si>
  <si>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</si>
  <si>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</si>
  <si>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</si>
  <si>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</si>
  <si>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</si>
  <si>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</si>
  <si>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</si>
  <si>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</si>
  <si>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</si>
  <si>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</si>
  <si>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</si>
  <si>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</si>
  <si>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</si>
  <si>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</si>
  <si>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</si>
  <si>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Darunavir ethanoalate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</si>
</sst>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2" fontId="6" fillId="2" borderId="0" xfId="0" applyNumberFormat="1" applyFont="1" applyFill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1" workbookViewId="0">
      <selection activeCell="B50" sqref="B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92.2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25.64</v>
      </c>
      <c r="C20" s="10"/>
      <c r="D20" s="10"/>
      <c r="E20" s="10"/>
    </row>
    <row r="21" spans="1:6" ht="16.5" customHeight="1" x14ac:dyDescent="0.3">
      <c r="A21" s="7" t="s">
        <v>10</v>
      </c>
      <c r="B21" s="13">
        <f>25.64/25*2/5</f>
        <v>0.41024000000000005</v>
      </c>
      <c r="C21" s="10"/>
      <c r="D21" s="10"/>
      <c r="E21" s="10"/>
    </row>
    <row r="22" spans="1:6" ht="15.75" customHeight="1" x14ac:dyDescent="0.25">
      <c r="A22" s="10"/>
      <c r="B22" s="336">
        <v>42628.590115740742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115215228</v>
      </c>
      <c r="C24" s="18">
        <v>7607.5</v>
      </c>
      <c r="D24" s="19">
        <v>1.1000000000000001</v>
      </c>
      <c r="E24" s="20">
        <v>7.4</v>
      </c>
    </row>
    <row r="25" spans="1:6" ht="16.5" customHeight="1" x14ac:dyDescent="0.3">
      <c r="A25" s="17">
        <v>2</v>
      </c>
      <c r="B25" s="18">
        <v>115041377</v>
      </c>
      <c r="C25" s="18">
        <v>7568</v>
      </c>
      <c r="D25" s="19">
        <v>1.1000000000000001</v>
      </c>
      <c r="E25" s="19">
        <v>7.4</v>
      </c>
    </row>
    <row r="26" spans="1:6" ht="16.5" customHeight="1" x14ac:dyDescent="0.3">
      <c r="A26" s="17">
        <v>3</v>
      </c>
      <c r="B26" s="18">
        <v>114728123</v>
      </c>
      <c r="C26" s="18">
        <v>7592.6</v>
      </c>
      <c r="D26" s="19">
        <v>1.1000000000000001</v>
      </c>
      <c r="E26" s="19">
        <v>7.4</v>
      </c>
    </row>
    <row r="27" spans="1:6" ht="16.5" customHeight="1" x14ac:dyDescent="0.3">
      <c r="A27" s="17">
        <v>4</v>
      </c>
      <c r="B27" s="18">
        <v>115632162</v>
      </c>
      <c r="C27" s="18">
        <v>7576.7</v>
      </c>
      <c r="D27" s="19">
        <v>1.1000000000000001</v>
      </c>
      <c r="E27" s="19">
        <v>7.4</v>
      </c>
    </row>
    <row r="28" spans="1:6" ht="16.5" customHeight="1" x14ac:dyDescent="0.3">
      <c r="A28" s="17">
        <v>5</v>
      </c>
      <c r="B28" s="18">
        <v>115181207</v>
      </c>
      <c r="C28" s="18">
        <v>7576.2</v>
      </c>
      <c r="D28" s="19">
        <v>1.1000000000000001</v>
      </c>
      <c r="E28" s="19">
        <v>7.4</v>
      </c>
    </row>
    <row r="29" spans="1:6" ht="16.5" customHeight="1" x14ac:dyDescent="0.3">
      <c r="A29" s="17">
        <v>6</v>
      </c>
      <c r="B29" s="21">
        <v>115140190</v>
      </c>
      <c r="C29" s="21">
        <v>7579.1</v>
      </c>
      <c r="D29" s="22">
        <v>1.1000000000000001</v>
      </c>
      <c r="E29" s="22">
        <v>7.4</v>
      </c>
    </row>
    <row r="30" spans="1:6" ht="16.5" customHeight="1" x14ac:dyDescent="0.3">
      <c r="A30" s="23" t="s">
        <v>18</v>
      </c>
      <c r="B30" s="24">
        <f>AVERAGE(B24:B29)</f>
        <v>115156381.16666667</v>
      </c>
      <c r="C30" s="25">
        <f>AVERAGE(C24:C29)</f>
        <v>7583.3499999999995</v>
      </c>
      <c r="D30" s="26">
        <f>AVERAGE(D24:D29)</f>
        <v>1.0999999999999999</v>
      </c>
      <c r="E30" s="26">
        <f>AVERAGE(E24:E29)</f>
        <v>7.3999999999999995</v>
      </c>
    </row>
    <row r="31" spans="1:6" ht="16.5" customHeight="1" x14ac:dyDescent="0.3">
      <c r="A31" s="27" t="s">
        <v>19</v>
      </c>
      <c r="B31" s="28">
        <f>(STDEV(B24:B29)/B30)</f>
        <v>2.5387134400450882E-3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92.2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25.64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0.41024000000000005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115041377</v>
      </c>
      <c r="C45" s="18">
        <v>7568</v>
      </c>
      <c r="D45" s="19">
        <v>1.1000000000000001</v>
      </c>
      <c r="E45" s="20">
        <v>7.4</v>
      </c>
    </row>
    <row r="46" spans="1:6" ht="16.5" customHeight="1" x14ac:dyDescent="0.3">
      <c r="A46" s="17">
        <v>2</v>
      </c>
      <c r="B46" s="18">
        <v>114728123</v>
      </c>
      <c r="C46" s="18">
        <v>7592.6</v>
      </c>
      <c r="D46" s="19">
        <v>1.1000000000000001</v>
      </c>
      <c r="E46" s="19">
        <v>7.4</v>
      </c>
    </row>
    <row r="47" spans="1:6" ht="16.5" customHeight="1" x14ac:dyDescent="0.3">
      <c r="A47" s="17">
        <v>3</v>
      </c>
      <c r="B47" s="18">
        <v>115632162</v>
      </c>
      <c r="C47" s="18">
        <v>7576.7</v>
      </c>
      <c r="D47" s="19">
        <v>1.1000000000000001</v>
      </c>
      <c r="E47" s="19">
        <v>7.4</v>
      </c>
    </row>
    <row r="48" spans="1:6" ht="16.5" customHeight="1" x14ac:dyDescent="0.3">
      <c r="A48" s="17">
        <v>4</v>
      </c>
      <c r="B48" s="18">
        <v>115181207</v>
      </c>
      <c r="C48" s="18">
        <v>7576.2</v>
      </c>
      <c r="D48" s="19">
        <v>1.1000000000000001</v>
      </c>
      <c r="E48" s="19">
        <v>7.4</v>
      </c>
    </row>
    <row r="49" spans="1:7" ht="16.5" customHeight="1" x14ac:dyDescent="0.3">
      <c r="A49" s="17">
        <v>5</v>
      </c>
      <c r="B49" s="18">
        <v>115140190</v>
      </c>
      <c r="C49" s="18">
        <v>7579.1</v>
      </c>
      <c r="D49" s="19">
        <v>1.1000000000000001</v>
      </c>
      <c r="E49" s="19">
        <v>7.4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115144611.8</v>
      </c>
      <c r="C51" s="25">
        <f>AVERAGE(C45:C50)</f>
        <v>7578.5199999999995</v>
      </c>
      <c r="D51" s="26">
        <f>AVERAGE(D45:D50)</f>
        <v>1.1000000000000001</v>
      </c>
      <c r="E51" s="26">
        <f>AVERAGE(E45:E50)</f>
        <v>7.4</v>
      </c>
    </row>
    <row r="52" spans="1:7" ht="16.5" customHeight="1" x14ac:dyDescent="0.3">
      <c r="A52" s="27" t="s">
        <v>19</v>
      </c>
      <c r="B52" s="28">
        <f>(STDEV(B45:B50)/B51)</f>
        <v>2.8248224721525825E-3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8" workbookViewId="0">
      <selection activeCell="E50" sqref="E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1138.24</v>
      </c>
      <c r="D24" s="87">
        <f t="shared" ref="D24:D43" si="0">(C24-$C$46)/$C$46</f>
        <v>-9.3741487244247083E-3</v>
      </c>
      <c r="E24" s="53"/>
    </row>
    <row r="25" spans="1:5" ht="15.75" customHeight="1" x14ac:dyDescent="0.3">
      <c r="C25" s="95">
        <v>1145.71</v>
      </c>
      <c r="D25" s="88">
        <f t="shared" si="0"/>
        <v>-2.8729054813225732E-3</v>
      </c>
      <c r="E25" s="53"/>
    </row>
    <row r="26" spans="1:5" ht="15.75" customHeight="1" x14ac:dyDescent="0.3">
      <c r="C26" s="95">
        <v>1146.5</v>
      </c>
      <c r="D26" s="88">
        <f t="shared" si="0"/>
        <v>-2.1853576684644164E-3</v>
      </c>
      <c r="E26" s="53"/>
    </row>
    <row r="27" spans="1:5" ht="15.75" customHeight="1" x14ac:dyDescent="0.3">
      <c r="C27" s="95">
        <v>1157.75</v>
      </c>
      <c r="D27" s="88">
        <f t="shared" si="0"/>
        <v>7.6056713121110528E-3</v>
      </c>
      <c r="E27" s="53"/>
    </row>
    <row r="28" spans="1:5" ht="15.75" customHeight="1" x14ac:dyDescent="0.3">
      <c r="C28" s="95">
        <v>1148.98</v>
      </c>
      <c r="D28" s="88">
        <f t="shared" si="0"/>
        <v>-2.6979724301985854E-5</v>
      </c>
      <c r="E28" s="53"/>
    </row>
    <row r="29" spans="1:5" ht="15.75" customHeight="1" x14ac:dyDescent="0.3">
      <c r="C29" s="95">
        <v>1150.75</v>
      </c>
      <c r="D29" s="88">
        <f t="shared" si="0"/>
        <v>1.5134755019752053E-3</v>
      </c>
      <c r="E29" s="53"/>
    </row>
    <row r="30" spans="1:5" ht="15.75" customHeight="1" x14ac:dyDescent="0.3">
      <c r="C30" s="95">
        <v>1144.3800000000001</v>
      </c>
      <c r="D30" s="88">
        <f t="shared" si="0"/>
        <v>-4.0304226852483204E-3</v>
      </c>
      <c r="E30" s="53"/>
    </row>
    <row r="31" spans="1:5" ht="15.75" customHeight="1" x14ac:dyDescent="0.3">
      <c r="C31" s="95">
        <v>1134.49</v>
      </c>
      <c r="D31" s="88">
        <f t="shared" si="0"/>
        <v>-1.2637825051283198E-2</v>
      </c>
      <c r="E31" s="53"/>
    </row>
    <row r="32" spans="1:5" ht="15.75" customHeight="1" x14ac:dyDescent="0.3">
      <c r="C32" s="95">
        <v>1151.51</v>
      </c>
      <c r="D32" s="88">
        <f t="shared" si="0"/>
        <v>2.1749139042185183E-3</v>
      </c>
      <c r="E32" s="53"/>
    </row>
    <row r="33" spans="1:7" ht="15.75" customHeight="1" x14ac:dyDescent="0.3">
      <c r="C33" s="95">
        <v>1143.81</v>
      </c>
      <c r="D33" s="88">
        <f t="shared" si="0"/>
        <v>-4.5265014869309535E-3</v>
      </c>
      <c r="E33" s="53"/>
    </row>
    <row r="34" spans="1:7" ht="15.75" customHeight="1" x14ac:dyDescent="0.3">
      <c r="C34" s="95">
        <v>1148.71</v>
      </c>
      <c r="D34" s="88">
        <f t="shared" si="0"/>
        <v>-2.6196441983578127E-4</v>
      </c>
      <c r="E34" s="53"/>
    </row>
    <row r="35" spans="1:7" ht="15.75" customHeight="1" x14ac:dyDescent="0.3">
      <c r="C35" s="95">
        <v>1148.04</v>
      </c>
      <c r="D35" s="88">
        <f t="shared" si="0"/>
        <v>-8.4507459023456144E-4</v>
      </c>
      <c r="E35" s="53"/>
    </row>
    <row r="36" spans="1:7" ht="15.75" customHeight="1" x14ac:dyDescent="0.3">
      <c r="C36" s="95">
        <v>1150.4000000000001</v>
      </c>
      <c r="D36" s="88">
        <f t="shared" si="0"/>
        <v>1.2088657114684921E-3</v>
      </c>
      <c r="E36" s="53"/>
    </row>
    <row r="37" spans="1:7" ht="15.75" customHeight="1" x14ac:dyDescent="0.3">
      <c r="C37" s="95">
        <v>1153.74</v>
      </c>
      <c r="D37" s="88">
        <f t="shared" si="0"/>
        <v>4.1157134265903828E-3</v>
      </c>
      <c r="E37" s="53"/>
    </row>
    <row r="38" spans="1:7" ht="15.75" customHeight="1" x14ac:dyDescent="0.3">
      <c r="C38" s="95">
        <v>1140.29</v>
      </c>
      <c r="D38" s="88">
        <f t="shared" si="0"/>
        <v>-7.5900056657421068E-3</v>
      </c>
      <c r="E38" s="53"/>
    </row>
    <row r="39" spans="1:7" ht="15.75" customHeight="1" x14ac:dyDescent="0.3">
      <c r="C39" s="95">
        <v>1156.55</v>
      </c>
      <c r="D39" s="88">
        <f t="shared" si="0"/>
        <v>6.5612948875162962E-3</v>
      </c>
      <c r="E39" s="53"/>
    </row>
    <row r="40" spans="1:7" ht="15.75" customHeight="1" x14ac:dyDescent="0.3">
      <c r="C40" s="95">
        <v>1162.24</v>
      </c>
      <c r="D40" s="88">
        <f t="shared" si="0"/>
        <v>1.1513379767469625E-2</v>
      </c>
      <c r="E40" s="53"/>
    </row>
    <row r="41" spans="1:7" ht="15.75" customHeight="1" x14ac:dyDescent="0.3">
      <c r="C41" s="95">
        <v>1152.3599999999999</v>
      </c>
      <c r="D41" s="88">
        <f t="shared" si="0"/>
        <v>2.9146805383063632E-3</v>
      </c>
      <c r="E41" s="53"/>
    </row>
    <row r="42" spans="1:7" ht="15.75" customHeight="1" x14ac:dyDescent="0.3">
      <c r="C42" s="95">
        <v>1152.26</v>
      </c>
      <c r="D42" s="88">
        <f t="shared" si="0"/>
        <v>2.8276491695902162E-3</v>
      </c>
      <c r="E42" s="53"/>
    </row>
    <row r="43" spans="1:7" ht="16.5" customHeight="1" x14ac:dyDescent="0.3">
      <c r="C43" s="96">
        <v>1153.51</v>
      </c>
      <c r="D43" s="89">
        <f t="shared" si="0"/>
        <v>3.9155412785430461E-3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22980.22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1149.011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1149.011</v>
      </c>
      <c r="C49" s="93">
        <f>-IF(C46&lt;=80,10%,IF(C46&lt;250,7.5%,5%))</f>
        <v>-0.05</v>
      </c>
      <c r="D49" s="81">
        <f>IF(C46&lt;=80,C46*0.9,IF(C46&lt;250,C46*0.925,C46*0.95))</f>
        <v>1091.5604499999999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1206.46155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7" zoomScale="44" zoomScaleNormal="40" zoomScalePageLayoutView="44" workbookViewId="0">
      <selection activeCell="B113" sqref="B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>
        <v>42628.590115740742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9</v>
      </c>
      <c r="C26" s="327"/>
    </row>
    <row r="27" spans="1:14" ht="26.25" customHeight="1" x14ac:dyDescent="0.4">
      <c r="A27" s="109" t="s">
        <v>48</v>
      </c>
      <c r="B27" s="333" t="s">
        <v>49</v>
      </c>
      <c r="C27" s="333"/>
    </row>
    <row r="28" spans="1:14" ht="27" customHeight="1" x14ac:dyDescent="0.4">
      <c r="A28" s="109" t="s">
        <v>6</v>
      </c>
      <c r="B28" s="110">
        <v>92.2</v>
      </c>
    </row>
    <row r="29" spans="1:14" s="14" customFormat="1" ht="27" customHeight="1" x14ac:dyDescent="0.4">
      <c r="A29" s="109" t="s">
        <v>50</v>
      </c>
      <c r="B29" s="111">
        <v>0</v>
      </c>
      <c r="C29" s="303" t="s">
        <v>51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52</v>
      </c>
      <c r="B30" s="113">
        <f>B28-B29</f>
        <v>92.2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53</v>
      </c>
      <c r="B31" s="116">
        <v>547.66499999999996</v>
      </c>
      <c r="C31" s="306" t="s">
        <v>54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55</v>
      </c>
      <c r="B32" s="116">
        <v>593.73202000000003</v>
      </c>
      <c r="C32" s="306" t="s">
        <v>56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57</v>
      </c>
      <c r="B34" s="121">
        <f>B31/B32</f>
        <v>0.92241109044447345</v>
      </c>
      <c r="C34" s="99" t="s">
        <v>58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59</v>
      </c>
      <c r="B36" s="123">
        <v>25</v>
      </c>
      <c r="C36" s="99"/>
      <c r="D36" s="309" t="s">
        <v>60</v>
      </c>
      <c r="E36" s="334"/>
      <c r="F36" s="309" t="s">
        <v>61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62</v>
      </c>
      <c r="B37" s="125">
        <v>4</v>
      </c>
      <c r="C37" s="126" t="s">
        <v>63</v>
      </c>
      <c r="D37" s="127" t="s">
        <v>64</v>
      </c>
      <c r="E37" s="128" t="s">
        <v>65</v>
      </c>
      <c r="F37" s="127" t="s">
        <v>64</v>
      </c>
      <c r="G37" s="129" t="s">
        <v>65</v>
      </c>
      <c r="I37" s="130" t="s">
        <v>66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67</v>
      </c>
      <c r="B38" s="125">
        <v>10</v>
      </c>
      <c r="C38" s="131">
        <v>1</v>
      </c>
      <c r="D38" s="132">
        <v>114357032</v>
      </c>
      <c r="E38" s="133">
        <f>IF(ISBLANK(D38),"-",$D$48/$D$45*D38)</f>
        <v>104886456.41147827</v>
      </c>
      <c r="F38" s="132">
        <v>72055829</v>
      </c>
      <c r="G38" s="134">
        <f>IF(ISBLANK(F38),"-",$D$48/$F$45*F38)</f>
        <v>105708559.66202325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68</v>
      </c>
      <c r="B39" s="125">
        <v>1</v>
      </c>
      <c r="C39" s="136">
        <v>2</v>
      </c>
      <c r="D39" s="137">
        <v>114434789</v>
      </c>
      <c r="E39" s="138">
        <f>IF(ISBLANK(D39),"-",$D$48/$D$45*D39)</f>
        <v>104957773.89889948</v>
      </c>
      <c r="F39" s="137">
        <v>72347584</v>
      </c>
      <c r="G39" s="139">
        <f>IF(ISBLANK(F39),"-",$D$48/$F$45*F39)</f>
        <v>106136575.01140176</v>
      </c>
      <c r="I39" s="311">
        <f>ABS((F43/D43*D42)-F42)/D42</f>
        <v>5.5802169144837334E-3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69</v>
      </c>
      <c r="B40" s="125">
        <v>1</v>
      </c>
      <c r="C40" s="136">
        <v>3</v>
      </c>
      <c r="D40" s="137">
        <v>115234814</v>
      </c>
      <c r="E40" s="138">
        <f>IF(ISBLANK(D40),"-",$D$48/$D$45*D40)</f>
        <v>105691544.14304672</v>
      </c>
      <c r="F40" s="137">
        <v>72600065</v>
      </c>
      <c r="G40" s="139">
        <f>IF(ISBLANK(F40),"-",$D$48/$F$45*F40)</f>
        <v>106506973.95375557</v>
      </c>
      <c r="I40" s="311"/>
      <c r="L40" s="117"/>
      <c r="M40" s="117"/>
      <c r="N40" s="140"/>
    </row>
    <row r="41" spans="1:14" ht="27" customHeight="1" x14ac:dyDescent="0.4">
      <c r="A41" s="124" t="s">
        <v>70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71</v>
      </c>
      <c r="B42" s="125">
        <v>1</v>
      </c>
      <c r="C42" s="146" t="s">
        <v>72</v>
      </c>
      <c r="D42" s="147">
        <f>AVERAGE(D38:D41)</f>
        <v>114675545</v>
      </c>
      <c r="E42" s="148">
        <f>AVERAGE(E38:E41)</f>
        <v>105178591.48447482</v>
      </c>
      <c r="F42" s="147">
        <f>AVERAGE(F38:F41)</f>
        <v>72334492.666666672</v>
      </c>
      <c r="G42" s="149">
        <f>AVERAGE(G38:G41)</f>
        <v>106117369.54239352</v>
      </c>
      <c r="H42" s="150"/>
    </row>
    <row r="43" spans="1:14" ht="26.25" customHeight="1" x14ac:dyDescent="0.4">
      <c r="A43" s="124" t="s">
        <v>73</v>
      </c>
      <c r="B43" s="125">
        <v>1</v>
      </c>
      <c r="C43" s="151" t="s">
        <v>74</v>
      </c>
      <c r="D43" s="152">
        <v>25.64</v>
      </c>
      <c r="E43" s="140"/>
      <c r="F43" s="152">
        <v>16.03</v>
      </c>
      <c r="H43" s="150"/>
    </row>
    <row r="44" spans="1:14" ht="26.25" customHeight="1" x14ac:dyDescent="0.4">
      <c r="A44" s="124" t="s">
        <v>75</v>
      </c>
      <c r="B44" s="125">
        <v>1</v>
      </c>
      <c r="C44" s="153" t="s">
        <v>76</v>
      </c>
      <c r="D44" s="154">
        <f>D43*$B$34</f>
        <v>23.650620358996299</v>
      </c>
      <c r="E44" s="155"/>
      <c r="F44" s="154">
        <f>F43*$B$34</f>
        <v>14.78624977982491</v>
      </c>
      <c r="H44" s="150"/>
    </row>
    <row r="45" spans="1:14" ht="19.5" customHeight="1" x14ac:dyDescent="0.3">
      <c r="A45" s="124" t="s">
        <v>77</v>
      </c>
      <c r="B45" s="156">
        <f>(B44/B43)*(B42/B41)*(B40/B39)*(B38/B37)*B36</f>
        <v>62.5</v>
      </c>
      <c r="C45" s="153" t="s">
        <v>78</v>
      </c>
      <c r="D45" s="157">
        <f>D44*$B$30/100</f>
        <v>21.805871970994591</v>
      </c>
      <c r="E45" s="158"/>
      <c r="F45" s="157">
        <f>F44*$B$30/100</f>
        <v>13.632922296998567</v>
      </c>
      <c r="H45" s="150"/>
    </row>
    <row r="46" spans="1:14" ht="19.5" customHeight="1" x14ac:dyDescent="0.3">
      <c r="A46" s="297" t="s">
        <v>79</v>
      </c>
      <c r="B46" s="298"/>
      <c r="C46" s="153" t="s">
        <v>80</v>
      </c>
      <c r="D46" s="159">
        <f>D45/$B$45</f>
        <v>0.34889395153591346</v>
      </c>
      <c r="E46" s="160"/>
      <c r="F46" s="161">
        <f>F45/$B$45</f>
        <v>0.21812675675197707</v>
      </c>
      <c r="H46" s="150"/>
    </row>
    <row r="47" spans="1:14" ht="27" customHeight="1" x14ac:dyDescent="0.4">
      <c r="A47" s="299"/>
      <c r="B47" s="300"/>
      <c r="C47" s="162" t="s">
        <v>81</v>
      </c>
      <c r="D47" s="163">
        <v>0.32</v>
      </c>
      <c r="E47" s="164"/>
      <c r="F47" s="160"/>
      <c r="H47" s="150"/>
    </row>
    <row r="48" spans="1:14" ht="18.75" x14ac:dyDescent="0.3">
      <c r="C48" s="165" t="s">
        <v>82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83</v>
      </c>
      <c r="D49" s="168">
        <f>D48/B34</f>
        <v>21.682306519496411</v>
      </c>
      <c r="F49" s="166"/>
      <c r="H49" s="150"/>
    </row>
    <row r="50" spans="1:12" ht="18.75" x14ac:dyDescent="0.3">
      <c r="C50" s="122" t="s">
        <v>84</v>
      </c>
      <c r="D50" s="169">
        <f>AVERAGE(E38:E41,G38:G41)</f>
        <v>105647980.51343417</v>
      </c>
      <c r="F50" s="170"/>
      <c r="H50" s="150"/>
    </row>
    <row r="51" spans="1:12" ht="18.75" x14ac:dyDescent="0.3">
      <c r="C51" s="124" t="s">
        <v>85</v>
      </c>
      <c r="D51" s="171">
        <f>STDEV(E38:E41,G38:G41)/D50</f>
        <v>6.043736774744732E-3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86</v>
      </c>
    </row>
    <row r="55" spans="1:12" ht="18.75" x14ac:dyDescent="0.3">
      <c r="A55" s="99" t="s">
        <v>87</v>
      </c>
      <c r="B55" s="176" t="str">
        <f>B21</f>
        <v>Each film coated tablet contains Darunavir (as Ethinolate) equivalent to Darunavir 800 mg</v>
      </c>
    </row>
    <row r="56" spans="1:12" ht="26.25" customHeight="1" x14ac:dyDescent="0.4">
      <c r="A56" s="177" t="s">
        <v>88</v>
      </c>
      <c r="B56" s="178">
        <v>800</v>
      </c>
      <c r="C56" s="99" t="str">
        <f>B20</f>
        <v>Darunavir</v>
      </c>
      <c r="H56" s="179"/>
    </row>
    <row r="57" spans="1:12" ht="18.75" x14ac:dyDescent="0.3">
      <c r="A57" s="176" t="s">
        <v>89</v>
      </c>
      <c r="B57" s="247">
        <f>Uniformity!C46</f>
        <v>1149.011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90</v>
      </c>
      <c r="B59" s="123">
        <v>250</v>
      </c>
      <c r="C59" s="99"/>
      <c r="D59" s="180" t="s">
        <v>91</v>
      </c>
      <c r="E59" s="181" t="s">
        <v>63</v>
      </c>
      <c r="F59" s="181" t="s">
        <v>64</v>
      </c>
      <c r="G59" s="181" t="s">
        <v>92</v>
      </c>
      <c r="H59" s="126" t="s">
        <v>93</v>
      </c>
      <c r="L59" s="112"/>
    </row>
    <row r="60" spans="1:12" s="14" customFormat="1" ht="26.25" customHeight="1" x14ac:dyDescent="0.4">
      <c r="A60" s="124" t="s">
        <v>94</v>
      </c>
      <c r="B60" s="125">
        <v>10</v>
      </c>
      <c r="C60" s="314" t="s">
        <v>95</v>
      </c>
      <c r="D60" s="317">
        <v>1143.3</v>
      </c>
      <c r="E60" s="182">
        <v>1</v>
      </c>
      <c r="F60" s="183">
        <v>99812316</v>
      </c>
      <c r="G60" s="248">
        <f>IF(ISBLANK(F60),"-",(F60/$D$50*$D$47*$B$68)*($B$57/$D$60))</f>
        <v>759.58591489809703</v>
      </c>
      <c r="H60" s="266">
        <f t="shared" ref="H60:H71" si="0">IF(ISBLANK(F60),"-",(G60/$B$56)*100)</f>
        <v>94.948239362262129</v>
      </c>
      <c r="L60" s="112"/>
    </row>
    <row r="61" spans="1:12" s="14" customFormat="1" ht="26.25" customHeight="1" x14ac:dyDescent="0.4">
      <c r="A61" s="124" t="s">
        <v>96</v>
      </c>
      <c r="B61" s="125">
        <v>100</v>
      </c>
      <c r="C61" s="315"/>
      <c r="D61" s="318"/>
      <c r="E61" s="184">
        <v>2</v>
      </c>
      <c r="F61" s="137">
        <v>99813005</v>
      </c>
      <c r="G61" s="249">
        <f>IF(ISBLANK(F61),"-",(F61/$D$50*$D$47*$B$68)*($B$57/$D$60))</f>
        <v>759.59115828605093</v>
      </c>
      <c r="H61" s="267">
        <f t="shared" si="0"/>
        <v>94.948894785756366</v>
      </c>
      <c r="L61" s="112"/>
    </row>
    <row r="62" spans="1:12" s="14" customFormat="1" ht="26.25" customHeight="1" x14ac:dyDescent="0.4">
      <c r="A62" s="124" t="s">
        <v>97</v>
      </c>
      <c r="B62" s="125">
        <v>1</v>
      </c>
      <c r="C62" s="315"/>
      <c r="D62" s="318"/>
      <c r="E62" s="184">
        <v>3</v>
      </c>
      <c r="F62" s="185">
        <v>99949754</v>
      </c>
      <c r="G62" s="249">
        <f>IF(ISBLANK(F62),"-",(F62/$D$50*$D$47*$B$68)*($B$57/$D$60))</f>
        <v>760.63183761741107</v>
      </c>
      <c r="H62" s="267">
        <f t="shared" si="0"/>
        <v>95.078979702176383</v>
      </c>
      <c r="L62" s="112"/>
    </row>
    <row r="63" spans="1:12" ht="27" customHeight="1" x14ac:dyDescent="0.4">
      <c r="A63" s="124" t="s">
        <v>98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99</v>
      </c>
      <c r="B64" s="125">
        <v>1</v>
      </c>
      <c r="C64" s="314" t="s">
        <v>100</v>
      </c>
      <c r="D64" s="317">
        <v>1142.43</v>
      </c>
      <c r="E64" s="182">
        <v>1</v>
      </c>
      <c r="F64" s="183">
        <v>99817404</v>
      </c>
      <c r="G64" s="248">
        <f>IF(ISBLANK(F64),"-",(F64/$D$50*$D$47*$B$68)*($B$57/$D$64))</f>
        <v>760.20311576214408</v>
      </c>
      <c r="H64" s="266">
        <f t="shared" si="0"/>
        <v>95.02538947026801</v>
      </c>
    </row>
    <row r="65" spans="1:8" ht="26.25" customHeight="1" x14ac:dyDescent="0.4">
      <c r="A65" s="124" t="s">
        <v>101</v>
      </c>
      <c r="B65" s="125">
        <v>1</v>
      </c>
      <c r="C65" s="315"/>
      <c r="D65" s="318"/>
      <c r="E65" s="184">
        <v>2</v>
      </c>
      <c r="F65" s="137">
        <v>100251034</v>
      </c>
      <c r="G65" s="249">
        <f>IF(ISBLANK(F65),"-",(F65/$D$50*$D$47*$B$68)*($B$57/$D$64))</f>
        <v>763.50561476410132</v>
      </c>
      <c r="H65" s="267">
        <f t="shared" si="0"/>
        <v>95.438201845512665</v>
      </c>
    </row>
    <row r="66" spans="1:8" ht="26.25" customHeight="1" x14ac:dyDescent="0.4">
      <c r="A66" s="124" t="s">
        <v>102</v>
      </c>
      <c r="B66" s="125">
        <v>1</v>
      </c>
      <c r="C66" s="315"/>
      <c r="D66" s="318"/>
      <c r="E66" s="184">
        <v>3</v>
      </c>
      <c r="F66" s="137">
        <v>100725193</v>
      </c>
      <c r="G66" s="249">
        <f>IF(ISBLANK(F66),"-",(F66/$D$50*$D$47*$B$68)*($B$57/$D$64))</f>
        <v>767.11678009922321</v>
      </c>
      <c r="H66" s="267">
        <f t="shared" si="0"/>
        <v>95.889597512402901</v>
      </c>
    </row>
    <row r="67" spans="1:8" ht="27" customHeight="1" x14ac:dyDescent="0.4">
      <c r="A67" s="124" t="s">
        <v>103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104</v>
      </c>
      <c r="B68" s="188">
        <f>(B67/B66)*(B65/B64)*(B63/B62)*(B61/B60)*B59</f>
        <v>2500</v>
      </c>
      <c r="C68" s="314" t="s">
        <v>105</v>
      </c>
      <c r="D68" s="317">
        <v>1144.22</v>
      </c>
      <c r="E68" s="182">
        <v>1</v>
      </c>
      <c r="F68" s="183">
        <v>100508380</v>
      </c>
      <c r="G68" s="248">
        <f>IF(ISBLANK(F68),"-",(F68/$D$50*$D$47*$B$68)*($B$57/$D$68))</f>
        <v>764.26806341674137</v>
      </c>
      <c r="H68" s="267">
        <f t="shared" si="0"/>
        <v>95.533507927092671</v>
      </c>
    </row>
    <row r="69" spans="1:8" ht="27" customHeight="1" x14ac:dyDescent="0.4">
      <c r="A69" s="172" t="s">
        <v>106</v>
      </c>
      <c r="B69" s="189">
        <f>(D47*B68)/B56*B57</f>
        <v>1149.011</v>
      </c>
      <c r="C69" s="315"/>
      <c r="D69" s="318"/>
      <c r="E69" s="184">
        <v>2</v>
      </c>
      <c r="F69" s="137">
        <v>100654145</v>
      </c>
      <c r="G69" s="249">
        <f>IF(ISBLANK(F69),"-",(F69/$D$50*$D$47*$B$68)*($B$57/$D$68))</f>
        <v>765.37646387314044</v>
      </c>
      <c r="H69" s="267">
        <f t="shared" si="0"/>
        <v>95.672057984142555</v>
      </c>
    </row>
    <row r="70" spans="1:8" ht="26.25" customHeight="1" x14ac:dyDescent="0.4">
      <c r="A70" s="320" t="s">
        <v>79</v>
      </c>
      <c r="B70" s="321"/>
      <c r="C70" s="315"/>
      <c r="D70" s="318"/>
      <c r="E70" s="184">
        <v>3</v>
      </c>
      <c r="F70" s="137">
        <v>101021733</v>
      </c>
      <c r="G70" s="249">
        <f>IF(ISBLANK(F70),"-",(F70/$D$50*$D$47*$B$68)*($B$57/$D$68))</f>
        <v>768.17161159012915</v>
      </c>
      <c r="H70" s="267">
        <f t="shared" si="0"/>
        <v>96.021451448766143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72</v>
      </c>
      <c r="G72" s="254">
        <f>AVERAGE(G60:G71)</f>
        <v>763.16117336744878</v>
      </c>
      <c r="H72" s="269">
        <f>AVERAGE(H60:H71)</f>
        <v>95.395146670931098</v>
      </c>
    </row>
    <row r="73" spans="1:8" ht="26.25" customHeight="1" x14ac:dyDescent="0.4">
      <c r="C73" s="190"/>
      <c r="D73" s="190"/>
      <c r="E73" s="190"/>
      <c r="F73" s="193" t="s">
        <v>85</v>
      </c>
      <c r="G73" s="253">
        <f>STDEV(G60:G71)/G72</f>
        <v>4.3379401621636447E-3</v>
      </c>
      <c r="H73" s="253">
        <f>STDEV(H60:H71)/H72</f>
        <v>4.3379401621636447E-3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107</v>
      </c>
      <c r="B76" s="197" t="s">
        <v>108</v>
      </c>
      <c r="C76" s="301" t="str">
        <f>B26</f>
        <v>Darunavir</v>
      </c>
      <c r="D76" s="301"/>
      <c r="E76" s="198" t="s">
        <v>109</v>
      </c>
      <c r="F76" s="198"/>
      <c r="G76" s="199">
        <f>H72</f>
        <v>95.395146670931098</v>
      </c>
      <c r="H76" s="200"/>
    </row>
    <row r="77" spans="1:8" ht="18.75" x14ac:dyDescent="0.3">
      <c r="A77" s="107" t="s">
        <v>110</v>
      </c>
      <c r="B77" s="107" t="s">
        <v>111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Darunavir</v>
      </c>
      <c r="C79" s="335"/>
    </row>
    <row r="80" spans="1:8" ht="26.25" customHeight="1" x14ac:dyDescent="0.4">
      <c r="A80" s="109" t="s">
        <v>48</v>
      </c>
      <c r="B80" s="335" t="str">
        <f>B27</f>
        <v>NQCL-WRS-D2-1</v>
      </c>
      <c r="C80" s="335"/>
    </row>
    <row r="81" spans="1:12" ht="27" customHeight="1" x14ac:dyDescent="0.4">
      <c r="A81" s="109" t="s">
        <v>6</v>
      </c>
      <c r="B81" s="201">
        <f>B28</f>
        <v>92.2</v>
      </c>
    </row>
    <row r="82" spans="1:12" s="14" customFormat="1" ht="27" customHeight="1" x14ac:dyDescent="0.4">
      <c r="A82" s="109" t="s">
        <v>50</v>
      </c>
      <c r="B82" s="111">
        <v>0</v>
      </c>
      <c r="C82" s="303" t="s">
        <v>51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52</v>
      </c>
      <c r="B83" s="113">
        <f>B81-B82</f>
        <v>92.2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53</v>
      </c>
      <c r="B84" s="116">
        <v>154.46</v>
      </c>
      <c r="C84" s="306" t="s">
        <v>112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55</v>
      </c>
      <c r="B85" s="116">
        <v>165.23</v>
      </c>
      <c r="C85" s="306" t="s">
        <v>113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57</v>
      </c>
      <c r="B87" s="121">
        <f>B84/B85</f>
        <v>0.93481813230042976</v>
      </c>
      <c r="C87" s="99" t="s">
        <v>58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59</v>
      </c>
      <c r="B89" s="123">
        <v>25</v>
      </c>
      <c r="D89" s="202" t="s">
        <v>60</v>
      </c>
      <c r="E89" s="203"/>
      <c r="F89" s="309" t="s">
        <v>61</v>
      </c>
      <c r="G89" s="310"/>
    </row>
    <row r="90" spans="1:12" ht="27" customHeight="1" x14ac:dyDescent="0.4">
      <c r="A90" s="124" t="s">
        <v>62</v>
      </c>
      <c r="B90" s="125">
        <v>4</v>
      </c>
      <c r="C90" s="204" t="s">
        <v>63</v>
      </c>
      <c r="D90" s="127" t="s">
        <v>64</v>
      </c>
      <c r="E90" s="128" t="s">
        <v>65</v>
      </c>
      <c r="F90" s="127" t="s">
        <v>64</v>
      </c>
      <c r="G90" s="205" t="s">
        <v>65</v>
      </c>
      <c r="I90" s="130" t="s">
        <v>66</v>
      </c>
    </row>
    <row r="91" spans="1:12" ht="26.25" customHeight="1" x14ac:dyDescent="0.4">
      <c r="A91" s="124" t="s">
        <v>67</v>
      </c>
      <c r="B91" s="125">
        <v>100</v>
      </c>
      <c r="C91" s="206">
        <v>1</v>
      </c>
      <c r="D91" s="132">
        <v>58788317</v>
      </c>
      <c r="E91" s="133">
        <f>IF(ISBLANK(D91),"-",$D$101/$D$98*D91)</f>
        <v>59115646.572572686</v>
      </c>
      <c r="F91" s="132">
        <v>36874666</v>
      </c>
      <c r="G91" s="134">
        <f>IF(ISBLANK(F91),"-",$D$101/$F$98*F91)</f>
        <v>59309465.540953055</v>
      </c>
      <c r="I91" s="135"/>
    </row>
    <row r="92" spans="1:12" ht="26.25" customHeight="1" x14ac:dyDescent="0.4">
      <c r="A92" s="124" t="s">
        <v>68</v>
      </c>
      <c r="B92" s="125">
        <v>1</v>
      </c>
      <c r="C92" s="191">
        <v>2</v>
      </c>
      <c r="D92" s="137">
        <v>58790921</v>
      </c>
      <c r="E92" s="138">
        <f>IF(ISBLANK(D92),"-",$D$101/$D$98*D92)</f>
        <v>59118265.071477406</v>
      </c>
      <c r="F92" s="137">
        <v>36728359</v>
      </c>
      <c r="G92" s="139">
        <f>IF(ISBLANK(F92),"-",$D$101/$F$98*F92)</f>
        <v>59074144.359334752</v>
      </c>
      <c r="I92" s="311">
        <f>ABS((F96/D96*D95)-F95)/D95</f>
        <v>7.5686110371208661E-4</v>
      </c>
    </row>
    <row r="93" spans="1:12" ht="26.25" customHeight="1" x14ac:dyDescent="0.4">
      <c r="A93" s="124" t="s">
        <v>69</v>
      </c>
      <c r="B93" s="125">
        <v>1</v>
      </c>
      <c r="C93" s="191">
        <v>3</v>
      </c>
      <c r="D93" s="137">
        <v>59025176</v>
      </c>
      <c r="E93" s="138">
        <f>IF(ISBLANK(D93),"-",$D$101/$D$98*D93)</f>
        <v>59353824.388269179</v>
      </c>
      <c r="F93" s="137">
        <v>36942838</v>
      </c>
      <c r="G93" s="139">
        <f>IF(ISBLANK(F93),"-",$D$101/$F$98*F93)</f>
        <v>59419113.853017978</v>
      </c>
      <c r="I93" s="311"/>
    </row>
    <row r="94" spans="1:12" ht="27" customHeight="1" x14ac:dyDescent="0.4">
      <c r="A94" s="124" t="s">
        <v>70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71</v>
      </c>
      <c r="B95" s="125">
        <v>1</v>
      </c>
      <c r="C95" s="209" t="s">
        <v>72</v>
      </c>
      <c r="D95" s="210">
        <f>AVERAGE(D91:D94)</f>
        <v>58868138</v>
      </c>
      <c r="E95" s="148">
        <f>AVERAGE(E91:E94)</f>
        <v>59195912.010773093</v>
      </c>
      <c r="F95" s="211">
        <f>AVERAGE(F91:F94)</f>
        <v>36848621</v>
      </c>
      <c r="G95" s="212">
        <f>AVERAGE(G91:G94)</f>
        <v>59267574.584435262</v>
      </c>
    </row>
    <row r="96" spans="1:12" ht="26.25" customHeight="1" x14ac:dyDescent="0.4">
      <c r="A96" s="124" t="s">
        <v>73</v>
      </c>
      <c r="B96" s="110">
        <v>1</v>
      </c>
      <c r="C96" s="213" t="s">
        <v>114</v>
      </c>
      <c r="D96" s="214">
        <v>25.64</v>
      </c>
      <c r="E96" s="140"/>
      <c r="F96" s="152">
        <v>16.03</v>
      </c>
    </row>
    <row r="97" spans="1:10" ht="26.25" customHeight="1" x14ac:dyDescent="0.4">
      <c r="A97" s="124" t="s">
        <v>75</v>
      </c>
      <c r="B97" s="110">
        <v>1</v>
      </c>
      <c r="C97" s="215" t="s">
        <v>115</v>
      </c>
      <c r="D97" s="216">
        <f>D96*$B$87</f>
        <v>23.968736912183019</v>
      </c>
      <c r="E97" s="155"/>
      <c r="F97" s="154">
        <f>F96*$B$87</f>
        <v>14.98513466077589</v>
      </c>
    </row>
    <row r="98" spans="1:10" ht="19.5" customHeight="1" x14ac:dyDescent="0.3">
      <c r="A98" s="124" t="s">
        <v>77</v>
      </c>
      <c r="B98" s="217">
        <f>(B97/B96)*(B95/B94)*(B93/B92)*(B91/B90)*B89</f>
        <v>625</v>
      </c>
      <c r="C98" s="215" t="s">
        <v>116</v>
      </c>
      <c r="D98" s="218">
        <f>D97*$B$83/100</f>
        <v>22.099175433032741</v>
      </c>
      <c r="E98" s="158"/>
      <c r="F98" s="157">
        <f>F97*$B$83/100</f>
        <v>13.816294157235371</v>
      </c>
    </row>
    <row r="99" spans="1:10" ht="19.5" customHeight="1" x14ac:dyDescent="0.3">
      <c r="A99" s="297" t="s">
        <v>79</v>
      </c>
      <c r="B99" s="312"/>
      <c r="C99" s="215" t="s">
        <v>117</v>
      </c>
      <c r="D99" s="219">
        <f>D98/$B$98</f>
        <v>3.5358680692852383E-2</v>
      </c>
      <c r="E99" s="158"/>
      <c r="F99" s="161">
        <f>F98/$B$98</f>
        <v>2.2106070651576593E-2</v>
      </c>
      <c r="G99" s="220"/>
      <c r="H99" s="150"/>
    </row>
    <row r="100" spans="1:10" ht="19.5" customHeight="1" x14ac:dyDescent="0.3">
      <c r="A100" s="299"/>
      <c r="B100" s="313"/>
      <c r="C100" s="215" t="s">
        <v>81</v>
      </c>
      <c r="D100" s="221">
        <f>$B$56/$B$116</f>
        <v>3.5555555555555556E-2</v>
      </c>
      <c r="F100" s="166"/>
      <c r="G100" s="222"/>
      <c r="H100" s="150"/>
    </row>
    <row r="101" spans="1:10" ht="18.75" x14ac:dyDescent="0.3">
      <c r="C101" s="215" t="s">
        <v>82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83</v>
      </c>
      <c r="D102" s="224">
        <f>D101/B34</f>
        <v>24.091451688329343</v>
      </c>
      <c r="F102" s="170"/>
      <c r="G102" s="220"/>
      <c r="H102" s="150"/>
      <c r="J102" s="225"/>
    </row>
    <row r="103" spans="1:10" ht="18.75" x14ac:dyDescent="0.3">
      <c r="C103" s="226" t="s">
        <v>118</v>
      </c>
      <c r="D103" s="227">
        <f>AVERAGE(E91:E94,G91:G94)</f>
        <v>59231743.297604181</v>
      </c>
      <c r="F103" s="170"/>
      <c r="G103" s="228"/>
      <c r="H103" s="150"/>
      <c r="J103" s="229"/>
    </row>
    <row r="104" spans="1:10" ht="18.75" x14ac:dyDescent="0.3">
      <c r="C104" s="193" t="s">
        <v>85</v>
      </c>
      <c r="D104" s="230">
        <f>STDEV(E91:E94,G91:G94)/D103</f>
        <v>2.4725775169735348E-3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119</v>
      </c>
      <c r="B107" s="123">
        <v>900</v>
      </c>
      <c r="C107" s="270" t="s">
        <v>120</v>
      </c>
      <c r="D107" s="270" t="s">
        <v>64</v>
      </c>
      <c r="E107" s="270" t="s">
        <v>121</v>
      </c>
      <c r="F107" s="232" t="s">
        <v>122</v>
      </c>
    </row>
    <row r="108" spans="1:10" ht="26.25" customHeight="1" x14ac:dyDescent="0.4">
      <c r="A108" s="124" t="s">
        <v>123</v>
      </c>
      <c r="B108" s="125">
        <v>2</v>
      </c>
      <c r="C108" s="275">
        <v>1</v>
      </c>
      <c r="D108" s="276">
        <v>51164757</v>
      </c>
      <c r="E108" s="250">
        <f t="shared" ref="E108:E113" si="1">IF(ISBLANK(D108),"-",D108/$D$103*$D$100*$B$116)</f>
        <v>691.04509374883821</v>
      </c>
      <c r="F108" s="277">
        <f t="shared" ref="F108:F113" si="2">IF(ISBLANK(D108), "-", (E108/$B$56)*100)</f>
        <v>86.380636718604777</v>
      </c>
    </row>
    <row r="109" spans="1:10" ht="26.25" customHeight="1" x14ac:dyDescent="0.4">
      <c r="A109" s="124" t="s">
        <v>96</v>
      </c>
      <c r="B109" s="125">
        <v>50</v>
      </c>
      <c r="C109" s="271">
        <v>2</v>
      </c>
      <c r="D109" s="273">
        <v>51281719</v>
      </c>
      <c r="E109" s="251">
        <f t="shared" si="1"/>
        <v>692.62481426339173</v>
      </c>
      <c r="F109" s="278">
        <f t="shared" si="2"/>
        <v>86.578101782923966</v>
      </c>
    </row>
    <row r="110" spans="1:10" ht="26.25" customHeight="1" x14ac:dyDescent="0.4">
      <c r="A110" s="124" t="s">
        <v>97</v>
      </c>
      <c r="B110" s="125">
        <v>1</v>
      </c>
      <c r="C110" s="271">
        <v>3</v>
      </c>
      <c r="D110" s="273">
        <v>51241391</v>
      </c>
      <c r="E110" s="251">
        <f t="shared" si="1"/>
        <v>692.08013335069438</v>
      </c>
      <c r="F110" s="278">
        <f t="shared" si="2"/>
        <v>86.510016668836798</v>
      </c>
    </row>
    <row r="111" spans="1:10" ht="26.25" customHeight="1" x14ac:dyDescent="0.4">
      <c r="A111" s="124" t="s">
        <v>98</v>
      </c>
      <c r="B111" s="125">
        <v>1</v>
      </c>
      <c r="C111" s="271">
        <v>4</v>
      </c>
      <c r="D111" s="273">
        <v>51222816</v>
      </c>
      <c r="E111" s="251">
        <f t="shared" si="1"/>
        <v>691.82925435958759</v>
      </c>
      <c r="F111" s="278">
        <f t="shared" si="2"/>
        <v>86.478656794948449</v>
      </c>
    </row>
    <row r="112" spans="1:10" ht="26.25" customHeight="1" x14ac:dyDescent="0.4">
      <c r="A112" s="124" t="s">
        <v>99</v>
      </c>
      <c r="B112" s="125">
        <v>1</v>
      </c>
      <c r="C112" s="271">
        <v>5</v>
      </c>
      <c r="D112" s="273">
        <v>51122241</v>
      </c>
      <c r="E112" s="251">
        <f t="shared" si="1"/>
        <v>690.47086111433509</v>
      </c>
      <c r="F112" s="278">
        <f t="shared" si="2"/>
        <v>86.308857639291887</v>
      </c>
    </row>
    <row r="113" spans="1:10" ht="27" customHeight="1" x14ac:dyDescent="0.4">
      <c r="A113" s="124" t="s">
        <v>101</v>
      </c>
      <c r="B113" s="125">
        <v>1</v>
      </c>
      <c r="C113" s="272">
        <v>6</v>
      </c>
      <c r="D113" s="274">
        <v>51221460</v>
      </c>
      <c r="E113" s="252">
        <f t="shared" si="1"/>
        <v>691.81093985558005</v>
      </c>
      <c r="F113" s="279">
        <f t="shared" si="2"/>
        <v>86.476367481947506</v>
      </c>
    </row>
    <row r="114" spans="1:10" ht="27" customHeight="1" x14ac:dyDescent="0.4">
      <c r="A114" s="124" t="s">
        <v>102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103</v>
      </c>
      <c r="B115" s="125">
        <v>1</v>
      </c>
      <c r="C115" s="233"/>
      <c r="D115" s="257" t="s">
        <v>72</v>
      </c>
      <c r="E115" s="259">
        <f>AVERAGE(E108:E113)</f>
        <v>691.64351611540451</v>
      </c>
      <c r="F115" s="281">
        <f>AVERAGE(F108:F113)</f>
        <v>86.455439514425564</v>
      </c>
    </row>
    <row r="116" spans="1:10" ht="27" customHeight="1" x14ac:dyDescent="0.4">
      <c r="A116" s="124" t="s">
        <v>104</v>
      </c>
      <c r="B116" s="156">
        <f>(B115/B114)*(B113/B112)*(B111/B110)*(B109/B108)*B107</f>
        <v>22500</v>
      </c>
      <c r="C116" s="234"/>
      <c r="D116" s="258" t="s">
        <v>85</v>
      </c>
      <c r="E116" s="256">
        <f>STDEV(E108:E113)/E115</f>
        <v>1.110439867811923E-3</v>
      </c>
      <c r="F116" s="235">
        <f>STDEV(F108:F113)/F115</f>
        <v>1.110439867811923E-3</v>
      </c>
      <c r="I116" s="98"/>
    </row>
    <row r="117" spans="1:10" ht="27" customHeight="1" x14ac:dyDescent="0.4">
      <c r="A117" s="297" t="s">
        <v>79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124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125</v>
      </c>
      <c r="E119" s="263">
        <f>MIN(E108:E113)</f>
        <v>690.47086111433509</v>
      </c>
      <c r="F119" s="282">
        <f>MIN(F108:F113)</f>
        <v>86.308857639291887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126</v>
      </c>
      <c r="E120" s="264">
        <f>MAX(E108:E113)</f>
        <v>692.62481426339173</v>
      </c>
      <c r="F120" s="283">
        <f>MAX(F108:F113)</f>
        <v>86.578101782923966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107</v>
      </c>
      <c r="B124" s="197" t="s">
        <v>127</v>
      </c>
      <c r="C124" s="301" t="str">
        <f>B26</f>
        <v>Darunavir</v>
      </c>
      <c r="D124" s="301"/>
      <c r="E124" s="198" t="s">
        <v>128</v>
      </c>
      <c r="F124" s="198"/>
      <c r="G124" s="284">
        <f>F115</f>
        <v>86.455439514425564</v>
      </c>
      <c r="H124" s="98"/>
      <c r="I124" s="98"/>
    </row>
    <row r="125" spans="1:10" ht="45.75" customHeight="1" x14ac:dyDescent="0.65">
      <c r="A125" s="108"/>
      <c r="B125" s="197" t="s">
        <v>129</v>
      </c>
      <c r="C125" s="109" t="s">
        <v>130</v>
      </c>
      <c r="D125" s="284">
        <f>MIN(F108:F113)</f>
        <v>86.308857639291887</v>
      </c>
      <c r="E125" s="209" t="s">
        <v>131</v>
      </c>
      <c r="F125" s="284">
        <f>MAX(F108:F113)</f>
        <v>86.578101782923966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Darunavir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2016-09-16T06:42:38Z</cp:lastPrinted>
  <dcterms:created xsi:type="dcterms:W3CDTF">2005-07-05T10:19:27Z</dcterms:created>
  <dcterms:modified xsi:type="dcterms:W3CDTF">2016-09-16T06:42:52Z</dcterms:modified>
  <cp:category/>
</cp:coreProperties>
</file>