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612" windowWidth="20772" windowHeight="10680" activeTab="2"/>
  </bookViews>
  <sheets>
    <sheet name="SST" sheetId="1" r:id="rId1"/>
    <sheet name="Uniformity" sheetId="2" r:id="rId2"/>
    <sheet name="Capecitabine" sheetId="3" r:id="rId3"/>
  </sheets>
  <definedNames>
    <definedName name="_xlnm.Print_Area" localSheetId="2">Capecitabine!$A$1:$H$130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20" i="3" l="1"/>
  <c r="F119" i="3"/>
  <c r="D100" i="3"/>
  <c r="H72" i="3"/>
  <c r="G60" i="3"/>
  <c r="G42" i="3"/>
  <c r="G40" i="3"/>
  <c r="G39" i="3"/>
  <c r="G38" i="3"/>
  <c r="D50" i="3"/>
  <c r="D46" i="3"/>
  <c r="B21" i="1"/>
  <c r="C124" i="3" l="1"/>
  <c r="B116" i="3"/>
  <c r="B98" i="3"/>
  <c r="F95" i="3"/>
  <c r="D95" i="3"/>
  <c r="B87" i="3"/>
  <c r="F97" i="3" s="1"/>
  <c r="B83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3" l="1"/>
  <c r="I39" i="3"/>
  <c r="F45" i="3"/>
  <c r="F46" i="3" s="1"/>
  <c r="I92" i="3"/>
  <c r="D101" i="3"/>
  <c r="D102" i="3" s="1"/>
  <c r="F98" i="3"/>
  <c r="F99" i="3" s="1"/>
  <c r="G92" i="3"/>
  <c r="D49" i="3"/>
  <c r="C50" i="2"/>
  <c r="D97" i="3"/>
  <c r="D98" i="3" s="1"/>
  <c r="D99" i="3" s="1"/>
  <c r="D26" i="2"/>
  <c r="D30" i="2"/>
  <c r="D34" i="2"/>
  <c r="D38" i="2"/>
  <c r="D42" i="2"/>
  <c r="B49" i="2"/>
  <c r="D44" i="3"/>
  <c r="D45" i="3" s="1"/>
  <c r="G41" i="3" l="1"/>
  <c r="G94" i="3"/>
  <c r="G91" i="3"/>
  <c r="G93" i="3"/>
  <c r="E41" i="3"/>
  <c r="E39" i="3"/>
  <c r="E40" i="3"/>
  <c r="E93" i="3"/>
  <c r="E38" i="3"/>
  <c r="E91" i="3"/>
  <c r="E92" i="3"/>
  <c r="E94" i="3"/>
  <c r="G95" i="3" l="1"/>
  <c r="D103" i="3"/>
  <c r="E95" i="3"/>
  <c r="D105" i="3"/>
  <c r="E42" i="3"/>
  <c r="D52" i="3"/>
  <c r="G70" i="3" l="1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D51" i="3"/>
  <c r="E112" i="3"/>
  <c r="F112" i="3" s="1"/>
  <c r="E110" i="3"/>
  <c r="F110" i="3" s="1"/>
  <c r="E108" i="3"/>
  <c r="D104" i="3"/>
  <c r="E113" i="3"/>
  <c r="F113" i="3" s="1"/>
  <c r="E111" i="3"/>
  <c r="F111" i="3" s="1"/>
  <c r="E109" i="3"/>
  <c r="F109" i="3" s="1"/>
  <c r="E120" i="3" l="1"/>
  <c r="E117" i="3"/>
  <c r="F108" i="3"/>
  <c r="E115" i="3"/>
  <c r="E116" i="3" s="1"/>
  <c r="E119" i="3"/>
  <c r="G74" i="3"/>
  <c r="G72" i="3"/>
  <c r="G73" i="3" s="1"/>
  <c r="H60" i="3"/>
  <c r="H74" i="3" l="1"/>
  <c r="F125" i="3"/>
  <c r="D125" i="3"/>
  <c r="F115" i="3"/>
  <c r="F117" i="3"/>
  <c r="G124" i="3" l="1"/>
  <c r="F116" i="3"/>
  <c r="G76" i="3"/>
  <c r="H73" i="3"/>
</calcChain>
</file>

<file path=xl/sharedStrings.xml><?xml version="1.0" encoding="utf-8"?>
<sst xmlns="http://schemas.openxmlformats.org/spreadsheetml/2006/main" count="239" uniqueCount="136">
  <si>
    <t>HPLC System Suitability Report</t>
  </si>
  <si>
    <t>Analysis Data</t>
  </si>
  <si>
    <t>Assay</t>
  </si>
  <si>
    <t>Sample(s)</t>
  </si>
  <si>
    <t>Reference Substance:</t>
  </si>
  <si>
    <t>BDOCIN 500 MG TABLETS USP</t>
  </si>
  <si>
    <t>% age Purity:</t>
  </si>
  <si>
    <t>NDQD201608062</t>
  </si>
  <si>
    <t>Weight (mg):</t>
  </si>
  <si>
    <t>Cpecitabine usp</t>
  </si>
  <si>
    <t>Standard Conc (mg/mL):</t>
  </si>
  <si>
    <t>Each film coated  tablet contains Capecitabine USP 500 mg</t>
  </si>
  <si>
    <t>2016-08-05 07:59:50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</si>
  <si>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</si>
  <si>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</si>
  <si>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</si>
  <si>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</si>
  <si>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</si>
  <si>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</si>
  <si>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</si>
  <si>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</si>
  <si>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</si>
  <si>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</si>
  <si>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</si>
  <si>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</si>
  <si>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</si>
  <si>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</si>
  <si>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</si>
  <si>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</si>
  <si>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</si>
  <si>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</si>
  <si>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</si>
  <si>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</si>
  <si>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</si>
  <si>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</si>
  <si>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</si>
  <si>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</si>
  <si>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</si>
  <si>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</si>
  <si>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</si>
  <si>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</si>
  <si>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</si>
  <si>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</si>
  <si>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</si>
  <si>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</si>
  <si>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</si>
  <si>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</si>
  <si>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</si>
  <si>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</si>
  <si>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</si>
  <si>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</si>
  <si>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</si>
  <si>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</si>
  <si>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</si>
  <si>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</si>
  <si>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</si>
  <si>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</si>
  <si>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</si>
  <si>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</si>
  <si>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</si>
  <si>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</si>
  <si>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</si>
  <si>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</si>
  <si>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</si>
  <si>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</si>
  <si>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</si>
  <si>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</si>
  <si>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</si>
  <si>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</si>
  <si>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</si>
  <si>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</si>
  <si>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</si>
  <si>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</si>
  <si>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</si>
  <si>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</si>
  <si>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</si>
  <si>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</si>
  <si>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</si>
  <si>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</si>
  <si>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</si>
  <si>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</si>
  <si>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</si>
  <si>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</si>
  <si>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</si>
  <si>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</si>
  <si>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</si>
  <si>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</si>
  <si>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</si>
  <si>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</si>
  <si>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</si>
  <si>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</si>
  <si>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</si>
  <si>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</si>
  <si>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</si>
  <si>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</si>
  <si>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</si>
  <si>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</si>
  <si>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</si>
  <si>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</si>
  <si>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</si>
  <si>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</si>
  <si>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</si>
  <si>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</si>
  <si>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</si>
  <si>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</si>
  <si>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</si>
  <si>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</si>
  <si>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</si>
  <si>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</si>
  <si>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</si>
  <si>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</si>
  <si>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</si>
  <si>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</si>
  <si>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</si>
  <si>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</si>
  <si>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</si>
  <si>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</si>
  <si>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</si>
  <si>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</si>
  <si>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</si>
  <si>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</si>
  <si>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</si>
  <si>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</si>
  <si>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</si>
  <si>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</si>
  <si>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</si>
  <si>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</si>
  <si>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</si>
  <si>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</si>
  <si>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Capecitabine</t>
  </si>
  <si>
    <t>C1-1</t>
  </si>
  <si>
    <t>BDOCIN 500 mg TABLETS USP</t>
  </si>
  <si>
    <t>Each film coated tablet contains Capecitabine USP 500 mg</t>
  </si>
  <si>
    <t>Average Tablet Weight (mg):</t>
  </si>
  <si>
    <t>Average Normalised Absorbance: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</si>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</sst>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sz val="2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76" fontId="7" fillId="3" borderId="4" xfId="0" applyNumberFormat="1" applyFont="1" applyFill="1" applyBorder="1" applyAlignment="1" applyProtection="1">
      <alignment horizontal="center"/>
      <protection locked="0"/>
    </xf>
    <xf numFmtId="176" fontId="7" fillId="3" borderId="5" xfId="0" applyNumberFormat="1" applyFont="1" applyFill="1" applyBorder="1" applyAlignment="1" applyProtection="1">
      <alignment horizontal="center"/>
      <protection locked="0"/>
    </xf>
    <xf numFmtId="0" fontId="27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 wrapText="1"/>
      <protection locked="0"/>
    </xf>
    <xf numFmtId="0" fontId="29" fillId="2" borderId="0" xfId="0" applyFont="1" applyFill="1" applyAlignment="1">
      <alignment horizontal="left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66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0" fontId="29" fillId="2" borderId="16" xfId="0" applyFont="1" applyFill="1" applyBorder="1" applyAlignment="1">
      <alignment horizontal="right"/>
    </xf>
    <xf numFmtId="0" fontId="29" fillId="2" borderId="41" xfId="0" quotePrefix="1" applyFont="1" applyFill="1" applyBorder="1" applyAlignment="1">
      <alignment horizontal="right"/>
    </xf>
    <xf numFmtId="164" fontId="12" fillId="7" borderId="16" xfId="0" applyNumberFormat="1" applyFont="1" applyFill="1" applyBorder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175" fontId="30" fillId="2" borderId="0" xfId="0" applyNumberFormat="1" applyFont="1" applyFill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C40" sqref="C4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78" t="s">
        <v>0</v>
      </c>
      <c r="B15" s="278"/>
      <c r="C15" s="278"/>
      <c r="D15" s="278"/>
      <c r="E15" s="27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329" t="s">
        <v>131</v>
      </c>
      <c r="D17" s="9"/>
      <c r="E17" s="10"/>
    </row>
    <row r="18" spans="1:6" ht="16.5" customHeight="1" x14ac:dyDescent="0.3">
      <c r="A18" s="11" t="s">
        <v>4</v>
      </c>
      <c r="B18" s="330" t="s">
        <v>129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11.69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</f>
        <v>0.46759999999999996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62638509</v>
      </c>
      <c r="C24" s="331">
        <v>22908.7</v>
      </c>
      <c r="D24" s="331">
        <v>1.1000000000000001</v>
      </c>
      <c r="E24" s="332">
        <v>15.5</v>
      </c>
    </row>
    <row r="25" spans="1:6" ht="16.5" customHeight="1" x14ac:dyDescent="0.3">
      <c r="A25" s="17">
        <v>2</v>
      </c>
      <c r="B25" s="18">
        <v>62808973</v>
      </c>
      <c r="C25" s="331">
        <v>22843.599999999999</v>
      </c>
      <c r="D25" s="331">
        <v>1.1000000000000001</v>
      </c>
      <c r="E25" s="331">
        <v>15.5</v>
      </c>
    </row>
    <row r="26" spans="1:6" ht="16.5" customHeight="1" x14ac:dyDescent="0.3">
      <c r="A26" s="17">
        <v>3</v>
      </c>
      <c r="B26" s="18">
        <v>62910116</v>
      </c>
      <c r="C26" s="331">
        <v>22866.5</v>
      </c>
      <c r="D26" s="331">
        <v>1.1000000000000001</v>
      </c>
      <c r="E26" s="331">
        <v>15.5</v>
      </c>
    </row>
    <row r="27" spans="1:6" ht="16.5" customHeight="1" x14ac:dyDescent="0.3">
      <c r="A27" s="17">
        <v>4</v>
      </c>
      <c r="B27" s="18">
        <v>62977747</v>
      </c>
      <c r="C27" s="331">
        <v>22813</v>
      </c>
      <c r="D27" s="331">
        <v>1.1000000000000001</v>
      </c>
      <c r="E27" s="331">
        <v>15.5</v>
      </c>
    </row>
    <row r="28" spans="1:6" ht="16.5" customHeight="1" x14ac:dyDescent="0.3">
      <c r="A28" s="17">
        <v>5</v>
      </c>
      <c r="B28" s="18">
        <v>62878459</v>
      </c>
      <c r="C28" s="331">
        <v>22759.5</v>
      </c>
      <c r="D28" s="331">
        <v>1.1000000000000001</v>
      </c>
      <c r="E28" s="331">
        <v>15.5</v>
      </c>
    </row>
    <row r="29" spans="1:6" ht="16.5" customHeight="1" x14ac:dyDescent="0.3">
      <c r="A29" s="17">
        <v>6</v>
      </c>
      <c r="B29" s="21">
        <v>63018634</v>
      </c>
      <c r="C29" s="333">
        <v>22891.1</v>
      </c>
      <c r="D29" s="333">
        <v>1.1000000000000001</v>
      </c>
      <c r="E29" s="333">
        <v>15.5</v>
      </c>
    </row>
    <row r="30" spans="1:6" ht="16.5" customHeight="1" x14ac:dyDescent="0.3">
      <c r="A30" s="23" t="s">
        <v>18</v>
      </c>
      <c r="B30" s="24">
        <f>AVERAGE(B24:B29)</f>
        <v>62872073</v>
      </c>
      <c r="C30" s="25">
        <f>AVERAGE(C24:C29)</f>
        <v>22847.066666666666</v>
      </c>
      <c r="D30" s="26">
        <f>AVERAGE(D24:D29)</f>
        <v>1.0999999999999999</v>
      </c>
      <c r="E30" s="26">
        <f>AVERAGE(E24:E29)</f>
        <v>15.5</v>
      </c>
    </row>
    <row r="31" spans="1:6" ht="16.5" customHeight="1" x14ac:dyDescent="0.3">
      <c r="A31" s="27" t="s">
        <v>19</v>
      </c>
      <c r="B31" s="28">
        <f>(STDEV(B24:B29)/B30)</f>
        <v>2.1653309218351252E-3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79" t="s">
        <v>26</v>
      </c>
      <c r="C59" s="27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F23" sqref="F2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3" t="s">
        <v>31</v>
      </c>
      <c r="B11" s="284"/>
      <c r="C11" s="284"/>
      <c r="D11" s="284"/>
      <c r="E11" s="284"/>
      <c r="F11" s="285"/>
      <c r="G11" s="91"/>
    </row>
    <row r="12" spans="1:7" ht="16.5" customHeight="1" x14ac:dyDescent="0.3">
      <c r="A12" s="282" t="s">
        <v>32</v>
      </c>
      <c r="B12" s="282"/>
      <c r="C12" s="282"/>
      <c r="D12" s="282"/>
      <c r="E12" s="282"/>
      <c r="F12" s="282"/>
      <c r="G12" s="90"/>
    </row>
    <row r="14" spans="1:7" ht="16.5" customHeight="1" x14ac:dyDescent="0.3">
      <c r="A14" s="287" t="s">
        <v>33</v>
      </c>
      <c r="B14" s="287"/>
      <c r="C14" s="60" t="s">
        <v>5</v>
      </c>
    </row>
    <row r="15" spans="1:7" ht="16.5" customHeight="1" x14ac:dyDescent="0.3">
      <c r="A15" s="287" t="s">
        <v>34</v>
      </c>
      <c r="B15" s="287"/>
      <c r="C15" s="60" t="s">
        <v>7</v>
      </c>
    </row>
    <row r="16" spans="1:7" ht="16.5" customHeight="1" x14ac:dyDescent="0.3">
      <c r="A16" s="287" t="s">
        <v>35</v>
      </c>
      <c r="B16" s="287"/>
      <c r="C16" s="60" t="s">
        <v>9</v>
      </c>
    </row>
    <row r="17" spans="1:5" ht="16.5" customHeight="1" x14ac:dyDescent="0.3">
      <c r="A17" s="287" t="s">
        <v>36</v>
      </c>
      <c r="B17" s="287"/>
      <c r="C17" s="60" t="s">
        <v>11</v>
      </c>
    </row>
    <row r="18" spans="1:5" ht="16.5" customHeight="1" x14ac:dyDescent="0.3">
      <c r="A18" s="287" t="s">
        <v>37</v>
      </c>
      <c r="B18" s="287"/>
      <c r="C18" s="97" t="s">
        <v>12</v>
      </c>
    </row>
    <row r="19" spans="1:5" ht="16.5" customHeight="1" x14ac:dyDescent="0.3">
      <c r="A19" s="287" t="s">
        <v>38</v>
      </c>
      <c r="B19" s="28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2" t="s">
        <v>1</v>
      </c>
      <c r="B21" s="282"/>
      <c r="C21" s="59" t="s">
        <v>39</v>
      </c>
      <c r="D21" s="66"/>
    </row>
    <row r="22" spans="1:5" ht="15.75" customHeight="1" x14ac:dyDescent="0.3">
      <c r="A22" s="286"/>
      <c r="B22" s="286"/>
      <c r="C22" s="57"/>
      <c r="D22" s="286"/>
      <c r="E22" s="28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652.35</v>
      </c>
      <c r="D24" s="87">
        <f t="shared" ref="D24:D43" si="0">(C24-$C$46)/$C$46</f>
        <v>-3.9773724912397111E-3</v>
      </c>
      <c r="E24" s="53"/>
    </row>
    <row r="25" spans="1:5" ht="15.75" customHeight="1" x14ac:dyDescent="0.3">
      <c r="C25" s="95">
        <v>658.1</v>
      </c>
      <c r="D25" s="88">
        <f t="shared" si="0"/>
        <v>4.8018566161035425E-3</v>
      </c>
      <c r="E25" s="53"/>
    </row>
    <row r="26" spans="1:5" ht="15.75" customHeight="1" x14ac:dyDescent="0.3">
      <c r="C26" s="95">
        <v>651.29</v>
      </c>
      <c r="D26" s="88">
        <f t="shared" si="0"/>
        <v>-5.595804291897862E-3</v>
      </c>
      <c r="E26" s="53"/>
    </row>
    <row r="27" spans="1:5" ht="15.75" customHeight="1" x14ac:dyDescent="0.3">
      <c r="C27" s="95">
        <v>657.41</v>
      </c>
      <c r="D27" s="88">
        <f t="shared" si="0"/>
        <v>3.748349123222269E-3</v>
      </c>
      <c r="E27" s="53"/>
    </row>
    <row r="28" spans="1:5" ht="15.75" customHeight="1" x14ac:dyDescent="0.3">
      <c r="C28" s="95">
        <v>668.9</v>
      </c>
      <c r="D28" s="88">
        <f t="shared" si="0"/>
        <v>2.129153911337428E-2</v>
      </c>
      <c r="E28" s="53"/>
    </row>
    <row r="29" spans="1:5" ht="15.75" customHeight="1" x14ac:dyDescent="0.3">
      <c r="C29" s="95">
        <v>653.77</v>
      </c>
      <c r="D29" s="88">
        <f t="shared" si="0"/>
        <v>-1.8092846073393524E-3</v>
      </c>
      <c r="E29" s="53"/>
    </row>
    <row r="30" spans="1:5" ht="15.75" customHeight="1" x14ac:dyDescent="0.3">
      <c r="C30" s="95">
        <v>652.86</v>
      </c>
      <c r="D30" s="88">
        <f t="shared" si="0"/>
        <v>-3.1986930399797143E-3</v>
      </c>
      <c r="E30" s="53"/>
    </row>
    <row r="31" spans="1:5" ht="15.75" customHeight="1" x14ac:dyDescent="0.3">
      <c r="C31" s="95">
        <v>652.9</v>
      </c>
      <c r="D31" s="88">
        <f t="shared" si="0"/>
        <v>-3.13762014184173E-3</v>
      </c>
      <c r="E31" s="53"/>
    </row>
    <row r="32" spans="1:5" ht="15.75" customHeight="1" x14ac:dyDescent="0.3">
      <c r="C32" s="95">
        <v>651.16</v>
      </c>
      <c r="D32" s="88">
        <f t="shared" si="0"/>
        <v>-5.7942912108464853E-3</v>
      </c>
      <c r="E32" s="53"/>
    </row>
    <row r="33" spans="1:7" ht="15.75" customHeight="1" x14ac:dyDescent="0.3">
      <c r="C33" s="95">
        <v>653.92999999999995</v>
      </c>
      <c r="D33" s="88">
        <f t="shared" si="0"/>
        <v>-1.5649930147872409E-3</v>
      </c>
      <c r="E33" s="53"/>
    </row>
    <row r="34" spans="1:7" ht="15.75" customHeight="1" x14ac:dyDescent="0.3">
      <c r="C34" s="95">
        <v>658.7</v>
      </c>
      <c r="D34" s="88">
        <f t="shared" si="0"/>
        <v>5.7179500881741775E-3</v>
      </c>
      <c r="E34" s="53"/>
    </row>
    <row r="35" spans="1:7" ht="15.75" customHeight="1" x14ac:dyDescent="0.3">
      <c r="C35" s="95">
        <v>649.74</v>
      </c>
      <c r="D35" s="88">
        <f t="shared" si="0"/>
        <v>-7.9623790947468426E-3</v>
      </c>
      <c r="E35" s="53"/>
    </row>
    <row r="36" spans="1:7" ht="15.75" customHeight="1" x14ac:dyDescent="0.3">
      <c r="C36" s="95">
        <v>658.61</v>
      </c>
      <c r="D36" s="88">
        <f t="shared" si="0"/>
        <v>5.5805360673635389E-3</v>
      </c>
      <c r="E36" s="53"/>
    </row>
    <row r="37" spans="1:7" ht="15.75" customHeight="1" x14ac:dyDescent="0.3">
      <c r="C37" s="95">
        <v>654.72</v>
      </c>
      <c r="D37" s="88">
        <f t="shared" si="0"/>
        <v>-3.5880327656083238E-4</v>
      </c>
      <c r="E37" s="53"/>
    </row>
    <row r="38" spans="1:7" ht="15.75" customHeight="1" x14ac:dyDescent="0.3">
      <c r="C38" s="95">
        <v>659.16</v>
      </c>
      <c r="D38" s="88">
        <f t="shared" si="0"/>
        <v>6.4202884167615199E-3</v>
      </c>
      <c r="E38" s="53"/>
    </row>
    <row r="39" spans="1:7" ht="15.75" customHeight="1" x14ac:dyDescent="0.3">
      <c r="C39" s="95">
        <v>651.88</v>
      </c>
      <c r="D39" s="88">
        <f t="shared" si="0"/>
        <v>-4.6949790443617228E-3</v>
      </c>
      <c r="E39" s="53"/>
    </row>
    <row r="40" spans="1:7" ht="15.75" customHeight="1" x14ac:dyDescent="0.3">
      <c r="C40" s="95">
        <v>654.62</v>
      </c>
      <c r="D40" s="88">
        <f t="shared" si="0"/>
        <v>-5.1148552190596723E-4</v>
      </c>
      <c r="E40" s="53"/>
    </row>
    <row r="41" spans="1:7" ht="15.75" customHeight="1" x14ac:dyDescent="0.3">
      <c r="C41" s="95">
        <v>645.24</v>
      </c>
      <c r="D41" s="88">
        <f t="shared" si="0"/>
        <v>-1.4833080135276346E-2</v>
      </c>
      <c r="E41" s="53"/>
    </row>
    <row r="42" spans="1:7" ht="15.75" customHeight="1" x14ac:dyDescent="0.3">
      <c r="C42" s="95">
        <v>656.65</v>
      </c>
      <c r="D42" s="88">
        <f t="shared" si="0"/>
        <v>2.5879640585995223E-3</v>
      </c>
      <c r="E42" s="53"/>
    </row>
    <row r="43" spans="1:7" ht="16.5" customHeight="1" x14ac:dyDescent="0.3">
      <c r="C43" s="96">
        <v>657.11</v>
      </c>
      <c r="D43" s="89">
        <f t="shared" si="0"/>
        <v>3.2903023871870382E-3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13099.099999999999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654.95499999999993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0">
        <f>C46</f>
        <v>654.95499999999993</v>
      </c>
      <c r="C49" s="93">
        <f>-IF(C46&lt;=80,10%,IF(C46&lt;250,7.5%,5%))</f>
        <v>-0.05</v>
      </c>
      <c r="D49" s="81">
        <f>IF(C46&lt;=80,C46*0.9,IF(C46&lt;250,C46*0.925,C46*0.95))</f>
        <v>622.20724999999993</v>
      </c>
    </row>
    <row r="50" spans="1:6" ht="17.25" customHeight="1" x14ac:dyDescent="0.3">
      <c r="B50" s="281"/>
      <c r="C50" s="94">
        <f>IF(C46&lt;=80, 10%, IF(C46&lt;250, 7.5%, 5%))</f>
        <v>0.05</v>
      </c>
      <c r="D50" s="81">
        <f>IF(C46&lt;=80, C46*1.1, IF(C46&lt;250, C46*1.075, C46*1.05))</f>
        <v>687.70274999999992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09" zoomScale="60" zoomScaleNormal="80" zoomScalePageLayoutView="50" workbookViewId="0">
      <selection activeCell="H123" sqref="H12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18" t="s">
        <v>45</v>
      </c>
      <c r="B1" s="318"/>
      <c r="C1" s="318"/>
      <c r="D1" s="318"/>
      <c r="E1" s="318"/>
      <c r="F1" s="318"/>
      <c r="G1" s="318"/>
      <c r="H1" s="318"/>
      <c r="I1" s="318"/>
    </row>
    <row r="2" spans="1:9" ht="18.75" customHeight="1" x14ac:dyDescent="0.3">
      <c r="A2" s="318"/>
      <c r="B2" s="318"/>
      <c r="C2" s="318"/>
      <c r="D2" s="318"/>
      <c r="E2" s="318"/>
      <c r="F2" s="318"/>
      <c r="G2" s="318"/>
      <c r="H2" s="318"/>
      <c r="I2" s="318"/>
    </row>
    <row r="3" spans="1:9" ht="18.75" customHeight="1" x14ac:dyDescent="0.3">
      <c r="A3" s="318"/>
      <c r="B3" s="318"/>
      <c r="C3" s="318"/>
      <c r="D3" s="318"/>
      <c r="E3" s="318"/>
      <c r="F3" s="318"/>
      <c r="G3" s="318"/>
      <c r="H3" s="318"/>
      <c r="I3" s="318"/>
    </row>
    <row r="4" spans="1:9" ht="18.75" customHeight="1" x14ac:dyDescent="0.3">
      <c r="A4" s="318"/>
      <c r="B4" s="318"/>
      <c r="C4" s="318"/>
      <c r="D4" s="318"/>
      <c r="E4" s="318"/>
      <c r="F4" s="318"/>
      <c r="G4" s="318"/>
      <c r="H4" s="318"/>
      <c r="I4" s="318"/>
    </row>
    <row r="5" spans="1:9" ht="18.75" customHeight="1" x14ac:dyDescent="0.3">
      <c r="A5" s="318"/>
      <c r="B5" s="318"/>
      <c r="C5" s="318"/>
      <c r="D5" s="318"/>
      <c r="E5" s="318"/>
      <c r="F5" s="318"/>
      <c r="G5" s="318"/>
      <c r="H5" s="318"/>
      <c r="I5" s="318"/>
    </row>
    <row r="6" spans="1:9" ht="18.75" customHeight="1" x14ac:dyDescent="0.3">
      <c r="A6" s="318"/>
      <c r="B6" s="318"/>
      <c r="C6" s="318"/>
      <c r="D6" s="318"/>
      <c r="E6" s="318"/>
      <c r="F6" s="318"/>
      <c r="G6" s="318"/>
      <c r="H6" s="318"/>
      <c r="I6" s="318"/>
    </row>
    <row r="7" spans="1:9" ht="18.75" customHeight="1" x14ac:dyDescent="0.3">
      <c r="A7" s="318"/>
      <c r="B7" s="318"/>
      <c r="C7" s="318"/>
      <c r="D7" s="318"/>
      <c r="E7" s="318"/>
      <c r="F7" s="318"/>
      <c r="G7" s="318"/>
      <c r="H7" s="318"/>
      <c r="I7" s="318"/>
    </row>
    <row r="8" spans="1:9" x14ac:dyDescent="0.3">
      <c r="A8" s="319" t="s">
        <v>46</v>
      </c>
      <c r="B8" s="319"/>
      <c r="C8" s="319"/>
      <c r="D8" s="319"/>
      <c r="E8" s="319"/>
      <c r="F8" s="319"/>
      <c r="G8" s="319"/>
      <c r="H8" s="319"/>
      <c r="I8" s="319"/>
    </row>
    <row r="9" spans="1:9" x14ac:dyDescent="0.3">
      <c r="A9" s="319"/>
      <c r="B9" s="319"/>
      <c r="C9" s="319"/>
      <c r="D9" s="319"/>
      <c r="E9" s="319"/>
      <c r="F9" s="319"/>
      <c r="G9" s="319"/>
      <c r="H9" s="319"/>
      <c r="I9" s="319"/>
    </row>
    <row r="10" spans="1:9" x14ac:dyDescent="0.3">
      <c r="A10" s="319"/>
      <c r="B10" s="319"/>
      <c r="C10" s="319"/>
      <c r="D10" s="319"/>
      <c r="E10" s="319"/>
      <c r="F10" s="319"/>
      <c r="G10" s="319"/>
      <c r="H10" s="319"/>
      <c r="I10" s="319"/>
    </row>
    <row r="11" spans="1:9" x14ac:dyDescent="0.3">
      <c r="A11" s="319"/>
      <c r="B11" s="319"/>
      <c r="C11" s="319"/>
      <c r="D11" s="319"/>
      <c r="E11" s="319"/>
      <c r="F11" s="319"/>
      <c r="G11" s="319"/>
      <c r="H11" s="319"/>
      <c r="I11" s="319"/>
    </row>
    <row r="12" spans="1:9" x14ac:dyDescent="0.3">
      <c r="A12" s="319"/>
      <c r="B12" s="319"/>
      <c r="C12" s="319"/>
      <c r="D12" s="319"/>
      <c r="E12" s="319"/>
      <c r="F12" s="319"/>
      <c r="G12" s="319"/>
      <c r="H12" s="319"/>
      <c r="I12" s="319"/>
    </row>
    <row r="13" spans="1:9" x14ac:dyDescent="0.3">
      <c r="A13" s="319"/>
      <c r="B13" s="319"/>
      <c r="C13" s="319"/>
      <c r="D13" s="319"/>
      <c r="E13" s="319"/>
      <c r="F13" s="319"/>
      <c r="G13" s="319"/>
      <c r="H13" s="319"/>
      <c r="I13" s="319"/>
    </row>
    <row r="14" spans="1:9" x14ac:dyDescent="0.3">
      <c r="A14" s="319"/>
      <c r="B14" s="319"/>
      <c r="C14" s="319"/>
      <c r="D14" s="319"/>
      <c r="E14" s="319"/>
      <c r="F14" s="319"/>
      <c r="G14" s="319"/>
      <c r="H14" s="319"/>
      <c r="I14" s="319"/>
    </row>
    <row r="15" spans="1:9" ht="19.5" customHeight="1" x14ac:dyDescent="0.35">
      <c r="A15" s="98"/>
    </row>
    <row r="16" spans="1:9" ht="19.5" customHeight="1" x14ac:dyDescent="0.35">
      <c r="A16" s="291" t="s">
        <v>31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3">
      <c r="A17" s="294" t="s">
        <v>47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5">
      <c r="A18" s="100" t="s">
        <v>33</v>
      </c>
      <c r="B18" s="334" t="s">
        <v>131</v>
      </c>
      <c r="C18" s="290"/>
      <c r="D18" s="242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1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35" t="s">
        <v>129</v>
      </c>
      <c r="C20" s="295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35" t="s">
        <v>132</v>
      </c>
      <c r="C21" s="295"/>
      <c r="D21" s="295"/>
      <c r="E21" s="295"/>
      <c r="F21" s="295"/>
      <c r="G21" s="295"/>
      <c r="H21" s="295"/>
      <c r="I21" s="104"/>
    </row>
    <row r="22" spans="1:14" ht="26.25" customHeight="1" x14ac:dyDescent="0.5">
      <c r="A22" s="100" t="s">
        <v>37</v>
      </c>
      <c r="B22" s="105"/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290" t="s">
        <v>129</v>
      </c>
      <c r="C26" s="290"/>
    </row>
    <row r="27" spans="1:14" ht="26.25" customHeight="1" x14ac:dyDescent="0.5">
      <c r="A27" s="109" t="s">
        <v>48</v>
      </c>
      <c r="B27" s="296" t="s">
        <v>130</v>
      </c>
      <c r="C27" s="296"/>
    </row>
    <row r="28" spans="1:14" ht="27" customHeight="1" x14ac:dyDescent="0.45">
      <c r="A28" s="109" t="s">
        <v>6</v>
      </c>
      <c r="B28" s="110">
        <v>99.7</v>
      </c>
    </row>
    <row r="29" spans="1:14" s="14" customFormat="1" ht="27" customHeight="1" x14ac:dyDescent="0.5">
      <c r="A29" s="109" t="s">
        <v>49</v>
      </c>
      <c r="B29" s="111">
        <v>0</v>
      </c>
      <c r="C29" s="297" t="s">
        <v>50</v>
      </c>
      <c r="D29" s="298"/>
      <c r="E29" s="298"/>
      <c r="F29" s="298"/>
      <c r="G29" s="299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00" t="s">
        <v>53</v>
      </c>
      <c r="D31" s="301"/>
      <c r="E31" s="301"/>
      <c r="F31" s="301"/>
      <c r="G31" s="301"/>
      <c r="H31" s="302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00" t="s">
        <v>55</v>
      </c>
      <c r="D32" s="301"/>
      <c r="E32" s="301"/>
      <c r="F32" s="301"/>
      <c r="G32" s="301"/>
      <c r="H32" s="302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25</v>
      </c>
      <c r="C36" s="99"/>
      <c r="D36" s="303" t="s">
        <v>59</v>
      </c>
      <c r="E36" s="304"/>
      <c r="F36" s="303" t="s">
        <v>60</v>
      </c>
      <c r="G36" s="305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</v>
      </c>
      <c r="C38" s="131">
        <v>1</v>
      </c>
      <c r="D38" s="132">
        <v>62709408</v>
      </c>
      <c r="E38" s="133">
        <f>IF(ISBLANK(D38),"-",$D$48/$D$45*D38)</f>
        <v>80707573.533260167</v>
      </c>
      <c r="F38" s="132">
        <v>89986538</v>
      </c>
      <c r="G38" s="134">
        <f>IF(ISBLANK(F38),"-",$D$48/$F$45*F38)</f>
        <v>79126805.899873793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63170694</v>
      </c>
      <c r="E39" s="138">
        <f>IF(ISBLANK(D39),"-",$D$48/$D$45*D39)</f>
        <v>81301252.774576932</v>
      </c>
      <c r="F39" s="137">
        <v>90451903</v>
      </c>
      <c r="G39" s="139">
        <f>IF(ISBLANK(F39),"-",$D$48/$F$45*F39)</f>
        <v>79536009.841329962</v>
      </c>
      <c r="I39" s="307">
        <f>ABS((F43/D43*D42)-F42)/D42</f>
        <v>2.9004700435092255E-2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63031238</v>
      </c>
      <c r="E40" s="138">
        <f>IF(ISBLANK(D40),"-",$D$48/$D$45*D40)</f>
        <v>81121771.645132139</v>
      </c>
      <c r="F40" s="137">
        <v>90581218</v>
      </c>
      <c r="G40" s="139">
        <f>IF(ISBLANK(F40),"-",$D$48/$F$45*F40)</f>
        <v>79649718.881952703</v>
      </c>
      <c r="I40" s="307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62970446.666666664</v>
      </c>
      <c r="E42" s="148">
        <f>AVERAGE(E38:E41)</f>
        <v>81043532.650989756</v>
      </c>
      <c r="F42" s="147">
        <f>AVERAGE(F38:F41)</f>
        <v>90339886.333333328</v>
      </c>
      <c r="G42" s="149">
        <f>AVERAGE(G38:G41)</f>
        <v>79437511.541052148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11.69</v>
      </c>
      <c r="E43" s="140"/>
      <c r="F43" s="152">
        <v>17.11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11.69</v>
      </c>
      <c r="E44" s="155"/>
      <c r="F44" s="154">
        <f>F43*$B$34</f>
        <v>17.11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25</v>
      </c>
      <c r="C45" s="153" t="s">
        <v>77</v>
      </c>
      <c r="D45" s="157">
        <f>D44*$B$30/100</f>
        <v>11.65493</v>
      </c>
      <c r="E45" s="158"/>
      <c r="F45" s="157">
        <f>F44*$B$30/100</f>
        <v>17.058669999999999</v>
      </c>
      <c r="H45" s="150"/>
    </row>
    <row r="46" spans="1:14" ht="19.5" customHeight="1" x14ac:dyDescent="0.35">
      <c r="A46" s="308" t="s">
        <v>78</v>
      </c>
      <c r="B46" s="309"/>
      <c r="C46" s="153" t="s">
        <v>79</v>
      </c>
      <c r="D46" s="159">
        <f>D45/$B$45</f>
        <v>0.46619720000000003</v>
      </c>
      <c r="E46" s="160"/>
      <c r="F46" s="161">
        <f>F45/$B$45</f>
        <v>0.68234679999999992</v>
      </c>
      <c r="H46" s="150"/>
    </row>
    <row r="47" spans="1:14" ht="27" customHeight="1" x14ac:dyDescent="0.45">
      <c r="A47" s="310"/>
      <c r="B47" s="311"/>
      <c r="C47" s="162" t="s">
        <v>80</v>
      </c>
      <c r="D47" s="163">
        <v>0.6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15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80240522.096020952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1.1429761016490148E-2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film coated tablet contains Capecitabine USP 500 mg</v>
      </c>
    </row>
    <row r="56" spans="1:12" ht="26.25" customHeight="1" x14ac:dyDescent="0.45">
      <c r="A56" s="177" t="s">
        <v>87</v>
      </c>
      <c r="B56" s="178">
        <v>500</v>
      </c>
      <c r="C56" s="99" t="str">
        <f>B20</f>
        <v>Capecitabine</v>
      </c>
      <c r="H56" s="179"/>
    </row>
    <row r="57" spans="1:12" ht="18" x14ac:dyDescent="0.35">
      <c r="A57" s="336" t="s">
        <v>133</v>
      </c>
      <c r="B57" s="243">
        <f>Uniformity!C46</f>
        <v>654.95499999999993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88</v>
      </c>
      <c r="B59" s="123">
        <v>250</v>
      </c>
      <c r="C59" s="99"/>
      <c r="D59" s="180" t="s">
        <v>89</v>
      </c>
      <c r="E59" s="181" t="s">
        <v>62</v>
      </c>
      <c r="F59" s="181" t="s">
        <v>63</v>
      </c>
      <c r="G59" s="181" t="s">
        <v>90</v>
      </c>
      <c r="H59" s="126" t="s">
        <v>91</v>
      </c>
      <c r="L59" s="112"/>
    </row>
    <row r="60" spans="1:12" s="14" customFormat="1" ht="26.25" customHeight="1" x14ac:dyDescent="0.45">
      <c r="A60" s="124" t="s">
        <v>92</v>
      </c>
      <c r="B60" s="125">
        <v>1</v>
      </c>
      <c r="C60" s="312" t="s">
        <v>93</v>
      </c>
      <c r="D60" s="315">
        <v>193.05</v>
      </c>
      <c r="E60" s="182">
        <v>1</v>
      </c>
      <c r="F60" s="183">
        <v>76128367</v>
      </c>
      <c r="G60" s="244">
        <f>IF(ISBLANK(F60),"-",(F60/$D$50*$D$47*$B$68)*($B$57/$D$60))</f>
        <v>482.82047973465734</v>
      </c>
      <c r="H60" s="262">
        <f t="shared" ref="H60:H71" si="0">IF(ISBLANK(F60),"-",(G60/$B$56)*100)</f>
        <v>96.564095946931474</v>
      </c>
      <c r="L60" s="112"/>
    </row>
    <row r="61" spans="1:12" s="14" customFormat="1" ht="26.25" customHeight="1" x14ac:dyDescent="0.45">
      <c r="A61" s="124" t="s">
        <v>94</v>
      </c>
      <c r="B61" s="125">
        <v>1</v>
      </c>
      <c r="C61" s="313"/>
      <c r="D61" s="316"/>
      <c r="E61" s="184">
        <v>2</v>
      </c>
      <c r="F61" s="137">
        <v>76276771</v>
      </c>
      <c r="G61" s="245">
        <f>IF(ISBLANK(F61),"-",(F61/$D$50*$D$47*$B$68)*($B$57/$D$60))</f>
        <v>483.76168592754135</v>
      </c>
      <c r="H61" s="263">
        <f t="shared" si="0"/>
        <v>96.752337185508281</v>
      </c>
      <c r="L61" s="112"/>
    </row>
    <row r="62" spans="1:12" s="14" customFormat="1" ht="26.25" customHeight="1" x14ac:dyDescent="0.45">
      <c r="A62" s="124" t="s">
        <v>95</v>
      </c>
      <c r="B62" s="125">
        <v>1</v>
      </c>
      <c r="C62" s="313"/>
      <c r="D62" s="316"/>
      <c r="E62" s="184">
        <v>3</v>
      </c>
      <c r="F62" s="185">
        <v>76241124</v>
      </c>
      <c r="G62" s="245">
        <f>IF(ISBLANK(F62),"-",(F62/$D$50*$D$47*$B$68)*($B$57/$D$60))</f>
        <v>483.53560592189638</v>
      </c>
      <c r="H62" s="263">
        <f t="shared" si="0"/>
        <v>96.707121184379275</v>
      </c>
      <c r="L62" s="112"/>
    </row>
    <row r="63" spans="1:12" ht="27" customHeight="1" x14ac:dyDescent="0.45">
      <c r="A63" s="124" t="s">
        <v>96</v>
      </c>
      <c r="B63" s="125">
        <v>1</v>
      </c>
      <c r="C63" s="314"/>
      <c r="D63" s="317"/>
      <c r="E63" s="186">
        <v>4</v>
      </c>
      <c r="F63" s="187"/>
      <c r="G63" s="245" t="str">
        <f>IF(ISBLANK(F63),"-",(F63/$D$50*$D$47*$B$68)*($B$57/$D$60))</f>
        <v>-</v>
      </c>
      <c r="H63" s="263" t="str">
        <f t="shared" si="0"/>
        <v>-</v>
      </c>
    </row>
    <row r="64" spans="1:12" ht="26.25" customHeight="1" x14ac:dyDescent="0.45">
      <c r="A64" s="124" t="s">
        <v>97</v>
      </c>
      <c r="B64" s="125">
        <v>1</v>
      </c>
      <c r="C64" s="312" t="s">
        <v>98</v>
      </c>
      <c r="D64" s="315">
        <v>196.76</v>
      </c>
      <c r="E64" s="182">
        <v>1</v>
      </c>
      <c r="F64" s="183">
        <v>77395094</v>
      </c>
      <c r="G64" s="244">
        <f>IF(ISBLANK(F64),"-",(F64/$D$50*$D$47*$B$68)*($B$57/$D$64))</f>
        <v>481.59901870280123</v>
      </c>
      <c r="H64" s="262">
        <f t="shared" si="0"/>
        <v>96.319803740560246</v>
      </c>
    </row>
    <row r="65" spans="1:8" ht="26.25" customHeight="1" x14ac:dyDescent="0.45">
      <c r="A65" s="124" t="s">
        <v>99</v>
      </c>
      <c r="B65" s="125">
        <v>1</v>
      </c>
      <c r="C65" s="313"/>
      <c r="D65" s="316"/>
      <c r="E65" s="184">
        <v>2</v>
      </c>
      <c r="F65" s="137">
        <v>77763862</v>
      </c>
      <c r="G65" s="245">
        <f>IF(ISBLANK(F65),"-",(F65/$D$50*$D$47*$B$68)*($B$57/$D$64))</f>
        <v>483.89371592132261</v>
      </c>
      <c r="H65" s="263">
        <f t="shared" si="0"/>
        <v>96.778743184264528</v>
      </c>
    </row>
    <row r="66" spans="1:8" ht="26.25" customHeight="1" x14ac:dyDescent="0.45">
      <c r="A66" s="124" t="s">
        <v>100</v>
      </c>
      <c r="B66" s="125">
        <v>1</v>
      </c>
      <c r="C66" s="313"/>
      <c r="D66" s="316"/>
      <c r="E66" s="184">
        <v>3</v>
      </c>
      <c r="F66" s="137">
        <v>77784166</v>
      </c>
      <c r="G66" s="245">
        <f>IF(ISBLANK(F66),"-",(F66/$D$50*$D$47*$B$68)*($B$57/$D$64))</f>
        <v>484.02005967220344</v>
      </c>
      <c r="H66" s="263">
        <f t="shared" si="0"/>
        <v>96.804011934440695</v>
      </c>
    </row>
    <row r="67" spans="1:8" ht="27" customHeight="1" x14ac:dyDescent="0.45">
      <c r="A67" s="124" t="s">
        <v>101</v>
      </c>
      <c r="B67" s="125">
        <v>1</v>
      </c>
      <c r="C67" s="314"/>
      <c r="D67" s="317"/>
      <c r="E67" s="186">
        <v>4</v>
      </c>
      <c r="F67" s="187"/>
      <c r="G67" s="261" t="str">
        <f>IF(ISBLANK(F67),"-",(F67/$D$50*$D$47*$B$68)*($B$57/$D$64))</f>
        <v>-</v>
      </c>
      <c r="H67" s="264" t="str">
        <f t="shared" si="0"/>
        <v>-</v>
      </c>
    </row>
    <row r="68" spans="1:8" ht="26.25" customHeight="1" x14ac:dyDescent="0.5">
      <c r="A68" s="124" t="s">
        <v>102</v>
      </c>
      <c r="B68" s="188">
        <f>(B67/B66)*(B65/B64)*(B63/B62)*(B61/B60)*B59</f>
        <v>250</v>
      </c>
      <c r="C68" s="312" t="s">
        <v>103</v>
      </c>
      <c r="D68" s="315">
        <v>197.42</v>
      </c>
      <c r="E68" s="182">
        <v>1</v>
      </c>
      <c r="F68" s="183">
        <v>77797754</v>
      </c>
      <c r="G68" s="244">
        <f>IF(ISBLANK(F68),"-",(F68/$D$50*$D$47*$B$68)*($B$57/$D$68))</f>
        <v>482.48618953879321</v>
      </c>
      <c r="H68" s="263">
        <f t="shared" si="0"/>
        <v>96.497237907758631</v>
      </c>
    </row>
    <row r="69" spans="1:8" ht="27" customHeight="1" x14ac:dyDescent="0.5">
      <c r="A69" s="172" t="s">
        <v>104</v>
      </c>
      <c r="B69" s="189">
        <f>(D47*B68)/B56*B57</f>
        <v>196.48649999999998</v>
      </c>
      <c r="C69" s="313"/>
      <c r="D69" s="316"/>
      <c r="E69" s="184">
        <v>2</v>
      </c>
      <c r="F69" s="137">
        <v>77626249</v>
      </c>
      <c r="G69" s="245">
        <f>IF(ISBLANK(F69),"-",(F69/$D$50*$D$47*$B$68)*($B$57/$D$68))</f>
        <v>481.42254965611932</v>
      </c>
      <c r="H69" s="263">
        <f t="shared" si="0"/>
        <v>96.284509931223866</v>
      </c>
    </row>
    <row r="70" spans="1:8" ht="26.25" customHeight="1" x14ac:dyDescent="0.45">
      <c r="A70" s="325" t="s">
        <v>78</v>
      </c>
      <c r="B70" s="326"/>
      <c r="C70" s="313"/>
      <c r="D70" s="316"/>
      <c r="E70" s="184">
        <v>3</v>
      </c>
      <c r="F70" s="137">
        <v>77718041</v>
      </c>
      <c r="G70" s="245">
        <f>IF(ISBLANK(F70),"-",(F70/$D$50*$D$47*$B$68)*($B$57/$D$68))</f>
        <v>481.99182537467215</v>
      </c>
      <c r="H70" s="263">
        <f t="shared" si="0"/>
        <v>96.398365074934432</v>
      </c>
    </row>
    <row r="71" spans="1:8" ht="27" customHeight="1" x14ac:dyDescent="0.45">
      <c r="A71" s="327"/>
      <c r="B71" s="328"/>
      <c r="C71" s="324"/>
      <c r="D71" s="317"/>
      <c r="E71" s="186">
        <v>4</v>
      </c>
      <c r="F71" s="187"/>
      <c r="G71" s="261" t="str">
        <f>IF(ISBLANK(F71),"-",(F71/$D$50*$D$47*$B$68)*($B$57/$D$68))</f>
        <v>-</v>
      </c>
      <c r="H71" s="264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0">
        <f>AVERAGE(G60:G71)</f>
        <v>482.83679227222297</v>
      </c>
      <c r="H72" s="265">
        <f>AVERAGE(H60:H71)</f>
        <v>96.567358454444602</v>
      </c>
    </row>
    <row r="73" spans="1:8" ht="26.25" customHeight="1" x14ac:dyDescent="0.45">
      <c r="C73" s="190"/>
      <c r="D73" s="190"/>
      <c r="E73" s="190"/>
      <c r="F73" s="193" t="s">
        <v>84</v>
      </c>
      <c r="G73" s="249">
        <f>STDEV(G60:G71)/G72</f>
        <v>2.1006926395238912E-3</v>
      </c>
      <c r="H73" s="249">
        <f>STDEV(H60:H71)/H72</f>
        <v>2.1006926395239177E-3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105</v>
      </c>
      <c r="B76" s="197" t="s">
        <v>106</v>
      </c>
      <c r="C76" s="320" t="str">
        <f>B26</f>
        <v>Capecitabine</v>
      </c>
      <c r="D76" s="320"/>
      <c r="E76" s="198" t="s">
        <v>107</v>
      </c>
      <c r="F76" s="198"/>
      <c r="G76" s="199">
        <f>H72</f>
        <v>96.567358454444602</v>
      </c>
      <c r="H76" s="200"/>
    </row>
    <row r="77" spans="1:8" ht="18" x14ac:dyDescent="0.35">
      <c r="A77" s="107" t="s">
        <v>108</v>
      </c>
      <c r="B77" s="107" t="s">
        <v>109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06" t="s">
        <v>129</v>
      </c>
      <c r="C79" s="306"/>
    </row>
    <row r="80" spans="1:8" ht="26.25" customHeight="1" x14ac:dyDescent="0.45">
      <c r="A80" s="109" t="s">
        <v>48</v>
      </c>
      <c r="B80" s="306" t="s">
        <v>130</v>
      </c>
      <c r="C80" s="306"/>
    </row>
    <row r="81" spans="1:12" ht="27" customHeight="1" x14ac:dyDescent="0.45">
      <c r="A81" s="109" t="s">
        <v>6</v>
      </c>
      <c r="B81" s="201">
        <v>99.7</v>
      </c>
    </row>
    <row r="82" spans="1:12" s="14" customFormat="1" ht="27" customHeight="1" x14ac:dyDescent="0.5">
      <c r="A82" s="109" t="s">
        <v>49</v>
      </c>
      <c r="B82" s="111">
        <v>0</v>
      </c>
      <c r="C82" s="297" t="s">
        <v>50</v>
      </c>
      <c r="D82" s="298"/>
      <c r="E82" s="298"/>
      <c r="F82" s="298"/>
      <c r="G82" s="299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00" t="s">
        <v>110</v>
      </c>
      <c r="D84" s="301"/>
      <c r="E84" s="301"/>
      <c r="F84" s="301"/>
      <c r="G84" s="301"/>
      <c r="H84" s="302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00" t="s">
        <v>111</v>
      </c>
      <c r="D85" s="301"/>
      <c r="E85" s="301"/>
      <c r="F85" s="301"/>
      <c r="G85" s="301"/>
      <c r="H85" s="302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25</v>
      </c>
      <c r="D89" s="202" t="s">
        <v>59</v>
      </c>
      <c r="E89" s="203"/>
      <c r="F89" s="303" t="s">
        <v>60</v>
      </c>
      <c r="G89" s="305"/>
    </row>
    <row r="90" spans="1:12" ht="27" customHeight="1" x14ac:dyDescent="0.45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100</v>
      </c>
      <c r="C91" s="206">
        <v>1</v>
      </c>
      <c r="D91" s="337">
        <v>0.55800000000000005</v>
      </c>
      <c r="E91" s="133">
        <f>IF(ISBLANK(D91),"-",$D$101/$D$98*D91)</f>
        <v>0.53196372693787086</v>
      </c>
      <c r="F91" s="132">
        <v>0.79800000000000004</v>
      </c>
      <c r="G91" s="134">
        <f>IF(ISBLANK(F91),"-",$D$101/$F$98*F91)</f>
        <v>0.51977479291566508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338">
        <v>0.55900000000000005</v>
      </c>
      <c r="E92" s="138">
        <f>IF(ISBLANK(D92),"-",$D$101/$D$98*D92)</f>
        <v>0.53291706695030439</v>
      </c>
      <c r="F92" s="137">
        <v>0.79700000000000004</v>
      </c>
      <c r="G92" s="139">
        <f>IF(ISBLANK(F92),"-",$D$101/$F$98*F92)</f>
        <v>0.5191234460573747</v>
      </c>
      <c r="I92" s="307">
        <f>ABS((F96/D96*D95)-F95)/D95</f>
        <v>3.7287551143559965E-2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338">
        <v>0.56000000000000005</v>
      </c>
      <c r="E93" s="138">
        <f>IF(ISBLANK(D93),"-",$D$101/$D$98*D93)</f>
        <v>0.5338704069627378</v>
      </c>
      <c r="F93" s="137">
        <v>0.79700000000000004</v>
      </c>
      <c r="G93" s="139">
        <f>IF(ISBLANK(F93),"-",$D$101/$F$98*F93)</f>
        <v>0.5191234460573747</v>
      </c>
      <c r="I93" s="307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339">
        <f>AVERAGE(D91:D94)</f>
        <v>0.55900000000000005</v>
      </c>
      <c r="E95" s="340">
        <f>AVERAGE(E91:E94)</f>
        <v>0.53291706695030439</v>
      </c>
      <c r="F95" s="341">
        <f>AVERAGE(F91:F94)</f>
        <v>0.79733333333333345</v>
      </c>
      <c r="G95" s="210">
        <f>AVERAGE(G91:G94)</f>
        <v>0.51934056167680476</v>
      </c>
    </row>
    <row r="96" spans="1:12" ht="26.25" customHeight="1" x14ac:dyDescent="0.45">
      <c r="A96" s="124" t="s">
        <v>72</v>
      </c>
      <c r="B96" s="110">
        <v>1</v>
      </c>
      <c r="C96" s="211" t="s">
        <v>112</v>
      </c>
      <c r="D96" s="212">
        <v>11.69</v>
      </c>
      <c r="E96" s="140"/>
      <c r="F96" s="152">
        <v>17.11</v>
      </c>
    </row>
    <row r="97" spans="1:10" ht="26.25" customHeight="1" x14ac:dyDescent="0.45">
      <c r="A97" s="124" t="s">
        <v>74</v>
      </c>
      <c r="B97" s="110">
        <v>1</v>
      </c>
      <c r="C97" s="213" t="s">
        <v>113</v>
      </c>
      <c r="D97" s="214">
        <f>D96*$B$87</f>
        <v>11.69</v>
      </c>
      <c r="E97" s="155"/>
      <c r="F97" s="154">
        <f>F96*$B$87</f>
        <v>17.11</v>
      </c>
    </row>
    <row r="98" spans="1:10" ht="19.5" customHeight="1" x14ac:dyDescent="0.35">
      <c r="A98" s="124" t="s">
        <v>76</v>
      </c>
      <c r="B98" s="215">
        <f>(B97/B96)*(B95/B94)*(B93/B92)*(B91/B90)*B89</f>
        <v>500</v>
      </c>
      <c r="C98" s="213" t="s">
        <v>114</v>
      </c>
      <c r="D98" s="216">
        <f>D97*$B$83/100</f>
        <v>11.65493</v>
      </c>
      <c r="E98" s="158"/>
      <c r="F98" s="157">
        <f>F97*$B$83/100</f>
        <v>17.058669999999999</v>
      </c>
    </row>
    <row r="99" spans="1:10" ht="19.5" customHeight="1" x14ac:dyDescent="0.35">
      <c r="A99" s="308" t="s">
        <v>78</v>
      </c>
      <c r="B99" s="322"/>
      <c r="C99" s="213" t="s">
        <v>115</v>
      </c>
      <c r="D99" s="217">
        <f>D98/$B$98</f>
        <v>2.3309860000000002E-2</v>
      </c>
      <c r="E99" s="158"/>
      <c r="F99" s="161">
        <f>F98/$B$98</f>
        <v>3.4117339999999996E-2</v>
      </c>
      <c r="G99" s="218"/>
      <c r="H99" s="150"/>
    </row>
    <row r="100" spans="1:10" ht="19.5" customHeight="1" x14ac:dyDescent="0.35">
      <c r="A100" s="310"/>
      <c r="B100" s="323"/>
      <c r="C100" s="213" t="s">
        <v>80</v>
      </c>
      <c r="D100" s="219">
        <f>$B$56/$B$116</f>
        <v>2.2222222222222223E-2</v>
      </c>
      <c r="F100" s="166"/>
      <c r="G100" s="220"/>
      <c r="H100" s="150"/>
    </row>
    <row r="101" spans="1:10" ht="18" x14ac:dyDescent="0.35">
      <c r="C101" s="213" t="s">
        <v>81</v>
      </c>
      <c r="D101" s="214">
        <f>D100*$B$98</f>
        <v>11.111111111111111</v>
      </c>
      <c r="F101" s="166"/>
      <c r="G101" s="218"/>
      <c r="H101" s="150"/>
    </row>
    <row r="102" spans="1:10" ht="19.5" customHeight="1" x14ac:dyDescent="0.35">
      <c r="C102" s="221" t="s">
        <v>82</v>
      </c>
      <c r="D102" s="222">
        <f>D101/B34</f>
        <v>11.111111111111111</v>
      </c>
      <c r="F102" s="170"/>
      <c r="G102" s="218"/>
      <c r="H102" s="150"/>
      <c r="J102" s="223"/>
    </row>
    <row r="103" spans="1:10" ht="18" x14ac:dyDescent="0.35">
      <c r="C103" s="342" t="s">
        <v>134</v>
      </c>
      <c r="D103" s="344">
        <f>AVERAGE(E91:E94,G91:G94)</f>
        <v>0.52612881431355463</v>
      </c>
      <c r="F103" s="170"/>
      <c r="G103" s="224"/>
      <c r="H103" s="150"/>
      <c r="J103" s="225"/>
    </row>
    <row r="104" spans="1:10" ht="18" x14ac:dyDescent="0.35">
      <c r="C104" s="343" t="s">
        <v>135</v>
      </c>
      <c r="D104" s="226">
        <f>STDEV(E91:E94,G91:G94)/D103</f>
        <v>1.4187309868589845E-2</v>
      </c>
      <c r="F104" s="170"/>
      <c r="G104" s="218"/>
      <c r="H104" s="150"/>
      <c r="J104" s="225"/>
    </row>
    <row r="105" spans="1:10" ht="19.5" customHeight="1" x14ac:dyDescent="0.35">
      <c r="C105" s="195" t="s">
        <v>20</v>
      </c>
      <c r="D105" s="227">
        <f>COUNT(E91:E94,G91:G94)</f>
        <v>6</v>
      </c>
      <c r="F105" s="170"/>
      <c r="G105" s="218"/>
      <c r="H105" s="150"/>
      <c r="J105" s="225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116</v>
      </c>
      <c r="B107" s="123">
        <v>900</v>
      </c>
      <c r="C107" s="266" t="s">
        <v>117</v>
      </c>
      <c r="D107" s="266" t="s">
        <v>63</v>
      </c>
      <c r="E107" s="266" t="s">
        <v>118</v>
      </c>
      <c r="F107" s="228" t="s">
        <v>119</v>
      </c>
    </row>
    <row r="108" spans="1:10" ht="26.25" customHeight="1" x14ac:dyDescent="0.45">
      <c r="A108" s="124" t="s">
        <v>120</v>
      </c>
      <c r="B108" s="125">
        <v>2</v>
      </c>
      <c r="C108" s="269">
        <v>1</v>
      </c>
      <c r="D108" s="345">
        <v>0.47799999999999998</v>
      </c>
      <c r="E108" s="246">
        <f t="shared" ref="E108:E113" si="1">IF(ISBLANK(D108),"-",D108/$D$103*$D$100*$B$116)</f>
        <v>454.26137762826318</v>
      </c>
      <c r="F108" s="270">
        <f t="shared" ref="F108:F113" si="2">IF(ISBLANK(D108), "-", (E108/$B$56)*100)</f>
        <v>90.852275525652644</v>
      </c>
    </row>
    <row r="109" spans="1:10" ht="26.25" customHeight="1" x14ac:dyDescent="0.45">
      <c r="A109" s="124" t="s">
        <v>94</v>
      </c>
      <c r="B109" s="125">
        <v>50</v>
      </c>
      <c r="C109" s="267">
        <v>2</v>
      </c>
      <c r="D109" s="346">
        <v>0.47299999999999998</v>
      </c>
      <c r="E109" s="247">
        <f t="shared" si="1"/>
        <v>449.50968957775837</v>
      </c>
      <c r="F109" s="271">
        <f t="shared" si="2"/>
        <v>89.901937915551684</v>
      </c>
    </row>
    <row r="110" spans="1:10" ht="26.25" customHeight="1" x14ac:dyDescent="0.45">
      <c r="A110" s="124" t="s">
        <v>95</v>
      </c>
      <c r="B110" s="125">
        <v>1</v>
      </c>
      <c r="C110" s="267">
        <v>3</v>
      </c>
      <c r="D110" s="346">
        <v>0.47599999999999998</v>
      </c>
      <c r="E110" s="247">
        <f t="shared" si="1"/>
        <v>452.36070240806129</v>
      </c>
      <c r="F110" s="271">
        <f t="shared" si="2"/>
        <v>90.472140481612257</v>
      </c>
    </row>
    <row r="111" spans="1:10" ht="26.25" customHeight="1" x14ac:dyDescent="0.45">
      <c r="A111" s="124" t="s">
        <v>96</v>
      </c>
      <c r="B111" s="125">
        <v>1</v>
      </c>
      <c r="C111" s="267">
        <v>4</v>
      </c>
      <c r="D111" s="346">
        <v>0.47599999999999998</v>
      </c>
      <c r="E111" s="247">
        <f t="shared" si="1"/>
        <v>452.36070240806129</v>
      </c>
      <c r="F111" s="271">
        <f t="shared" si="2"/>
        <v>90.472140481612257</v>
      </c>
    </row>
    <row r="112" spans="1:10" ht="26.25" customHeight="1" x14ac:dyDescent="0.45">
      <c r="A112" s="124" t="s">
        <v>97</v>
      </c>
      <c r="B112" s="125">
        <v>1</v>
      </c>
      <c r="C112" s="267">
        <v>5</v>
      </c>
      <c r="D112" s="346">
        <v>0.47199999999999998</v>
      </c>
      <c r="E112" s="247">
        <f t="shared" si="1"/>
        <v>448.55935196765734</v>
      </c>
      <c r="F112" s="271">
        <f t="shared" si="2"/>
        <v>89.71187039353147</v>
      </c>
    </row>
    <row r="113" spans="1:10" ht="27" customHeight="1" x14ac:dyDescent="0.45">
      <c r="A113" s="124" t="s">
        <v>99</v>
      </c>
      <c r="B113" s="125">
        <v>1</v>
      </c>
      <c r="C113" s="268">
        <v>6</v>
      </c>
      <c r="D113" s="347">
        <v>0.47099999999999997</v>
      </c>
      <c r="E113" s="248">
        <f t="shared" si="1"/>
        <v>447.60901435755642</v>
      </c>
      <c r="F113" s="272">
        <f t="shared" si="2"/>
        <v>89.521802871511284</v>
      </c>
    </row>
    <row r="114" spans="1:10" ht="27" customHeight="1" x14ac:dyDescent="0.45">
      <c r="A114" s="124" t="s">
        <v>100</v>
      </c>
      <c r="B114" s="125">
        <v>1</v>
      </c>
      <c r="C114" s="229"/>
      <c r="D114" s="191"/>
      <c r="E114" s="98"/>
      <c r="F114" s="273"/>
    </row>
    <row r="115" spans="1:10" ht="26.25" customHeight="1" x14ac:dyDescent="0.45">
      <c r="A115" s="124" t="s">
        <v>101</v>
      </c>
      <c r="B115" s="125">
        <v>1</v>
      </c>
      <c r="C115" s="229"/>
      <c r="D115" s="253" t="s">
        <v>71</v>
      </c>
      <c r="E115" s="255">
        <f>AVERAGE(E108:E113)</f>
        <v>450.77680639122633</v>
      </c>
      <c r="F115" s="274">
        <f>AVERAGE(F108:F113)</f>
        <v>90.155361278245266</v>
      </c>
    </row>
    <row r="116" spans="1:10" ht="27" customHeight="1" x14ac:dyDescent="0.45">
      <c r="A116" s="124" t="s">
        <v>102</v>
      </c>
      <c r="B116" s="156">
        <f>(B115/B114)*(B113/B112)*(B111/B110)*(B109/B108)*B107</f>
        <v>22500</v>
      </c>
      <c r="C116" s="230"/>
      <c r="D116" s="254" t="s">
        <v>84</v>
      </c>
      <c r="E116" s="252">
        <f>STDEV(E108:E113)/E115</f>
        <v>5.7607593905605759E-3</v>
      </c>
      <c r="F116" s="231">
        <f>STDEV(F108:F113)/F115</f>
        <v>5.7607593905605837E-3</v>
      </c>
      <c r="I116" s="98"/>
    </row>
    <row r="117" spans="1:10" ht="27" customHeight="1" x14ac:dyDescent="0.45">
      <c r="A117" s="308" t="s">
        <v>78</v>
      </c>
      <c r="B117" s="309"/>
      <c r="C117" s="232"/>
      <c r="D117" s="195" t="s">
        <v>20</v>
      </c>
      <c r="E117" s="257">
        <f>COUNT(E108:E113)</f>
        <v>6</v>
      </c>
      <c r="F117" s="258">
        <f>COUNT(F108:F113)</f>
        <v>6</v>
      </c>
      <c r="I117" s="98"/>
      <c r="J117" s="225"/>
    </row>
    <row r="118" spans="1:10" ht="26.25" customHeight="1" x14ac:dyDescent="0.35">
      <c r="A118" s="310"/>
      <c r="B118" s="311"/>
      <c r="C118" s="98"/>
      <c r="D118" s="256"/>
      <c r="E118" s="288" t="s">
        <v>121</v>
      </c>
      <c r="F118" s="289"/>
      <c r="G118" s="98"/>
      <c r="H118" s="98"/>
      <c r="I118" s="98"/>
    </row>
    <row r="119" spans="1:10" ht="25.5" customHeight="1" x14ac:dyDescent="0.45">
      <c r="A119" s="241"/>
      <c r="B119" s="120"/>
      <c r="C119" s="98"/>
      <c r="D119" s="254" t="s">
        <v>122</v>
      </c>
      <c r="E119" s="259">
        <f>MIN(E108:E113)</f>
        <v>447.60901435755642</v>
      </c>
      <c r="F119" s="275">
        <f>MIN(F108:F113)</f>
        <v>89.521802871511284</v>
      </c>
      <c r="G119" s="98"/>
      <c r="H119" s="98"/>
      <c r="I119" s="98"/>
    </row>
    <row r="120" spans="1:10" ht="24" customHeight="1" x14ac:dyDescent="0.45">
      <c r="A120" s="241"/>
      <c r="B120" s="120"/>
      <c r="C120" s="98"/>
      <c r="D120" s="167" t="s">
        <v>123</v>
      </c>
      <c r="E120" s="260">
        <f>MAX(E108:E113)</f>
        <v>454.26137762826318</v>
      </c>
      <c r="F120" s="276">
        <f>MAX(F108:F113)</f>
        <v>90.852275525652644</v>
      </c>
      <c r="G120" s="98"/>
      <c r="H120" s="98"/>
      <c r="I120" s="98"/>
    </row>
    <row r="121" spans="1:10" ht="27" customHeight="1" x14ac:dyDescent="0.35">
      <c r="A121" s="241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1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1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105</v>
      </c>
      <c r="B124" s="197" t="s">
        <v>124</v>
      </c>
      <c r="C124" s="320" t="str">
        <f>B26</f>
        <v>Capecitabine</v>
      </c>
      <c r="D124" s="320"/>
      <c r="E124" s="198" t="s">
        <v>125</v>
      </c>
      <c r="F124" s="198"/>
      <c r="G124" s="277">
        <f>F115</f>
        <v>90.155361278245266</v>
      </c>
      <c r="H124" s="98"/>
      <c r="I124" s="98"/>
    </row>
    <row r="125" spans="1:10" ht="45.75" customHeight="1" x14ac:dyDescent="0.85">
      <c r="A125" s="108"/>
      <c r="B125" s="197" t="s">
        <v>126</v>
      </c>
      <c r="C125" s="109" t="s">
        <v>127</v>
      </c>
      <c r="D125" s="348">
        <f>MIN(F108:F113)</f>
        <v>89.521802871511284</v>
      </c>
      <c r="E125" s="209" t="s">
        <v>128</v>
      </c>
      <c r="F125" s="277">
        <f>MAX(F108:F113)</f>
        <v>90.852275525652644</v>
      </c>
      <c r="G125" s="199"/>
      <c r="H125" s="98"/>
      <c r="I125" s="98"/>
    </row>
    <row r="126" spans="1:10" ht="19.5" customHeight="1" x14ac:dyDescent="0.35">
      <c r="A126" s="233"/>
      <c r="B126" s="233"/>
      <c r="C126" s="234"/>
      <c r="D126" s="234"/>
      <c r="E126" s="234"/>
      <c r="F126" s="234"/>
      <c r="G126" s="234"/>
      <c r="H126" s="234"/>
    </row>
    <row r="127" spans="1:10" ht="18" x14ac:dyDescent="0.35">
      <c r="B127" s="321" t="s">
        <v>26</v>
      </c>
      <c r="C127" s="321"/>
      <c r="E127" s="204" t="s">
        <v>27</v>
      </c>
      <c r="F127" s="235"/>
      <c r="G127" s="321" t="s">
        <v>28</v>
      </c>
      <c r="H127" s="321"/>
    </row>
    <row r="128" spans="1:10" ht="69.900000000000006" customHeight="1" x14ac:dyDescent="0.35">
      <c r="A128" s="236" t="s">
        <v>29</v>
      </c>
      <c r="B128" s="237"/>
      <c r="C128" s="237"/>
      <c r="E128" s="237"/>
      <c r="F128" s="98"/>
      <c r="G128" s="238"/>
      <c r="H128" s="238"/>
    </row>
    <row r="129" spans="1:9" ht="69.900000000000006" customHeight="1" x14ac:dyDescent="0.35">
      <c r="A129" s="236" t="s">
        <v>30</v>
      </c>
      <c r="B129" s="239"/>
      <c r="C129" s="239"/>
      <c r="E129" s="239"/>
      <c r="F129" s="98"/>
      <c r="G129" s="240"/>
      <c r="H129" s="240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Capecitabine</vt:lpstr>
      <vt:lpstr>Capecitabine!Print_Area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2016-10-13T11:29:47Z</cp:lastPrinted>
  <dcterms:created xsi:type="dcterms:W3CDTF">2005-07-05T10:19:27Z</dcterms:created>
  <dcterms:modified xsi:type="dcterms:W3CDTF">2016-10-13T11:30:38Z</dcterms:modified>
</cp:coreProperties>
</file>