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 SULFAMETHOXAZOLE" sheetId="1" r:id="rId1"/>
    <sheet name="SST TRIMETHOPRIM" sheetId="5" r:id="rId2"/>
    <sheet name="Uniformity" sheetId="2" r:id="rId3"/>
    <sheet name="Sulfamethoxazole" sheetId="3" r:id="rId4"/>
    <sheet name="Trimethoprim" sheetId="4" r:id="rId5"/>
  </sheets>
  <definedNames>
    <definedName name="_xlnm.Print_Area" localSheetId="3">Sulfamethoxazole!$A$1:$I$129</definedName>
    <definedName name="_xlnm.Print_Area" localSheetId="4">Trimethoprim!$A$1:$I$129</definedName>
    <definedName name="_xlnm.Print_Area" localSheetId="2">Uniformity!$A$12:$G$54</definedName>
  </definedNames>
  <calcPr calcId="145621"/>
</workbook>
</file>

<file path=xl/calcChain.xml><?xml version="1.0" encoding="utf-8"?>
<calcChain xmlns="http://schemas.openxmlformats.org/spreadsheetml/2006/main">
  <c r="B21" i="1" l="1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B57" i="4"/>
  <c r="B69" i="4" s="1"/>
  <c r="C56" i="4"/>
  <c r="B55" i="4"/>
  <c r="B45" i="4"/>
  <c r="D48" i="4" s="1"/>
  <c r="F42" i="4"/>
  <c r="D42" i="4"/>
  <c r="B34" i="4"/>
  <c r="F44" i="4" s="1"/>
  <c r="F45" i="4" s="1"/>
  <c r="F46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I92" i="3" l="1"/>
  <c r="D101" i="3"/>
  <c r="D102" i="3" s="1"/>
  <c r="F97" i="3"/>
  <c r="F98" i="3" s="1"/>
  <c r="F99" i="3" s="1"/>
  <c r="I92" i="4"/>
  <c r="D101" i="4"/>
  <c r="D102" i="4" s="1"/>
  <c r="F97" i="4"/>
  <c r="I39" i="4"/>
  <c r="I39" i="3"/>
  <c r="D45" i="3"/>
  <c r="D46" i="3" s="1"/>
  <c r="D98" i="3"/>
  <c r="D99" i="3" s="1"/>
  <c r="F45" i="3"/>
  <c r="F46" i="3" s="1"/>
  <c r="E92" i="3"/>
  <c r="G41" i="3"/>
  <c r="E41" i="3"/>
  <c r="G39" i="3"/>
  <c r="G40" i="3"/>
  <c r="D49" i="3"/>
  <c r="G38" i="3"/>
  <c r="G40" i="4"/>
  <c r="D49" i="4"/>
  <c r="G38" i="4"/>
  <c r="G39" i="4"/>
  <c r="G41" i="4"/>
  <c r="D98" i="4"/>
  <c r="D99" i="4" s="1"/>
  <c r="F98" i="4"/>
  <c r="F99" i="4" s="1"/>
  <c r="E93" i="4"/>
  <c r="B57" i="3"/>
  <c r="B69" i="3" s="1"/>
  <c r="D44" i="4"/>
  <c r="D45" i="4" s="1"/>
  <c r="D46" i="4" s="1"/>
  <c r="E94" i="3" l="1"/>
  <c r="E93" i="3"/>
  <c r="E91" i="3"/>
  <c r="G93" i="3"/>
  <c r="G93" i="4"/>
  <c r="E94" i="4"/>
  <c r="E92" i="4"/>
  <c r="E91" i="4"/>
  <c r="G91" i="4"/>
  <c r="E38" i="4"/>
  <c r="E40" i="4"/>
  <c r="G42" i="4"/>
  <c r="E39" i="3"/>
  <c r="E40" i="3"/>
  <c r="E38" i="3"/>
  <c r="G42" i="3"/>
  <c r="G91" i="3"/>
  <c r="G92" i="3"/>
  <c r="G94" i="3"/>
  <c r="E39" i="4"/>
  <c r="G94" i="4"/>
  <c r="G92" i="4"/>
  <c r="E41" i="4"/>
  <c r="E95" i="3" l="1"/>
  <c r="E95" i="4"/>
  <c r="D105" i="4"/>
  <c r="G95" i="3"/>
  <c r="D50" i="4"/>
  <c r="G67" i="4" s="1"/>
  <c r="H67" i="4" s="1"/>
  <c r="G95" i="4"/>
  <c r="D103" i="4"/>
  <c r="E112" i="4" s="1"/>
  <c r="F112" i="4" s="1"/>
  <c r="D52" i="4"/>
  <c r="E42" i="4"/>
  <c r="E42" i="3"/>
  <c r="D52" i="3"/>
  <c r="D50" i="3"/>
  <c r="G64" i="3" s="1"/>
  <c r="H64" i="3" s="1"/>
  <c r="D105" i="3"/>
  <c r="D103" i="3"/>
  <c r="E113" i="3" s="1"/>
  <c r="F113" i="3" s="1"/>
  <c r="G70" i="4"/>
  <c r="H70" i="4" s="1"/>
  <c r="G61" i="4"/>
  <c r="H61" i="4" s="1"/>
  <c r="E112" i="3" l="1"/>
  <c r="F112" i="3" s="1"/>
  <c r="E110" i="3"/>
  <c r="F110" i="3" s="1"/>
  <c r="D104" i="3"/>
  <c r="E109" i="3"/>
  <c r="F109" i="3" s="1"/>
  <c r="E108" i="3"/>
  <c r="E111" i="3"/>
  <c r="F111" i="3" s="1"/>
  <c r="E111" i="4"/>
  <c r="F111" i="4" s="1"/>
  <c r="E110" i="4"/>
  <c r="F110" i="4" s="1"/>
  <c r="E113" i="4"/>
  <c r="F113" i="4" s="1"/>
  <c r="G60" i="4"/>
  <c r="H60" i="4" s="1"/>
  <c r="G69" i="4"/>
  <c r="H69" i="4" s="1"/>
  <c r="G62" i="4"/>
  <c r="H62" i="4" s="1"/>
  <c r="G71" i="4"/>
  <c r="H71" i="4" s="1"/>
  <c r="G63" i="4"/>
  <c r="H63" i="4" s="1"/>
  <c r="D51" i="4"/>
  <c r="G65" i="4"/>
  <c r="H65" i="4" s="1"/>
  <c r="G64" i="4"/>
  <c r="H64" i="4" s="1"/>
  <c r="G66" i="4"/>
  <c r="H66" i="4" s="1"/>
  <c r="G68" i="4"/>
  <c r="H68" i="4" s="1"/>
  <c r="E109" i="4"/>
  <c r="F109" i="4" s="1"/>
  <c r="E108" i="4"/>
  <c r="F108" i="4" s="1"/>
  <c r="D104" i="4"/>
  <c r="G68" i="3"/>
  <c r="H68" i="3" s="1"/>
  <c r="G63" i="3"/>
  <c r="H63" i="3" s="1"/>
  <c r="G67" i="3"/>
  <c r="H67" i="3" s="1"/>
  <c r="G66" i="3"/>
  <c r="H66" i="3" s="1"/>
  <c r="G65" i="3"/>
  <c r="H65" i="3" s="1"/>
  <c r="G60" i="3"/>
  <c r="H60" i="3" s="1"/>
  <c r="D51" i="3"/>
  <c r="G69" i="3"/>
  <c r="H69" i="3" s="1"/>
  <c r="G61" i="3"/>
  <c r="H61" i="3" s="1"/>
  <c r="G70" i="3"/>
  <c r="H70" i="3" s="1"/>
  <c r="G62" i="3"/>
  <c r="H62" i="3" s="1"/>
  <c r="G71" i="3"/>
  <c r="H71" i="3" s="1"/>
  <c r="E120" i="3" l="1"/>
  <c r="E117" i="3"/>
  <c r="E115" i="3"/>
  <c r="E116" i="3" s="1"/>
  <c r="F108" i="3"/>
  <c r="F117" i="3" s="1"/>
  <c r="E119" i="3"/>
  <c r="E120" i="4"/>
  <c r="E117" i="4"/>
  <c r="E119" i="4"/>
  <c r="G72" i="4"/>
  <c r="G73" i="4" s="1"/>
  <c r="G74" i="4"/>
  <c r="E115" i="4"/>
  <c r="E116" i="4" s="1"/>
  <c r="G72" i="3"/>
  <c r="G73" i="3" s="1"/>
  <c r="G74" i="3"/>
  <c r="D125" i="4"/>
  <c r="F115" i="4"/>
  <c r="F125" i="4"/>
  <c r="F119" i="4"/>
  <c r="F117" i="4"/>
  <c r="F120" i="4"/>
  <c r="H72" i="4"/>
  <c r="H74" i="4"/>
  <c r="H74" i="3"/>
  <c r="H72" i="3"/>
  <c r="F120" i="3" l="1"/>
  <c r="F115" i="3"/>
  <c r="F116" i="3" s="1"/>
  <c r="F125" i="3"/>
  <c r="D125" i="3"/>
  <c r="F119" i="3"/>
  <c r="G76" i="3"/>
  <c r="H73" i="3"/>
  <c r="G124" i="4"/>
  <c r="F116" i="4"/>
  <c r="G76" i="4"/>
  <c r="H73" i="4"/>
  <c r="G124" i="3" l="1"/>
</calcChain>
</file>

<file path=xl/sharedStrings.xml><?xml version="1.0" encoding="utf-8"?>
<sst xmlns="http://schemas.openxmlformats.org/spreadsheetml/2006/main" count="456" uniqueCount="141">
  <si>
    <t>HPLC System Suitability Report</t>
  </si>
  <si>
    <t>Analysis Data</t>
  </si>
  <si>
    <t>Assay</t>
  </si>
  <si>
    <t>Sample(s)</t>
  </si>
  <si>
    <t>Reference Substance:</t>
  </si>
  <si>
    <t>UNITRIM TABLETS</t>
  </si>
  <si>
    <t>% age Purity:</t>
  </si>
  <si>
    <t>NDQD201609099</t>
  </si>
  <si>
    <t>Weight (mg):</t>
  </si>
  <si>
    <t xml:space="preserve">Sulfamethoxazole  &amp; Trimethoprim </t>
  </si>
  <si>
    <t>Standard Conc (mg/mL):</t>
  </si>
  <si>
    <t>Each tablet contains: Sulfamethoxazole 400 mg and Trimethoprim 80 mg</t>
  </si>
  <si>
    <t>2016-09-13 11:14:30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</si>
  <si>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</si>
  <si>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</si>
  <si>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</si>
  <si>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</si>
  <si>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</si>
  <si>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</si>
  <si>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</si>
  <si>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</si>
  <si>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</si>
  <si>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</si>
  <si>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</si>
  <si>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</si>
  <si>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</si>
  <si>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</si>
  <si>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</si>
  <si>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</si>
  <si>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</si>
  <si>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</si>
  <si>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</si>
  <si>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</si>
  <si>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</si>
  <si>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</si>
  <si>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</si>
  <si>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</si>
  <si>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</si>
  <si>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</si>
  <si>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</si>
  <si>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</si>
  <si>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</si>
  <si>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</si>
  <si>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</si>
  <si>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</si>
  <si>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</si>
  <si>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</si>
  <si>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</si>
  <si>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</si>
  <si>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</si>
  <si>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</si>
  <si>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</si>
  <si>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</si>
  <si>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</si>
  <si>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</si>
  <si>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</si>
  <si>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</si>
  <si>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</si>
  <si>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</si>
  <si>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</si>
  <si>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</si>
  <si>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</si>
  <si>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</si>
  <si>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</si>
  <si>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</si>
  <si>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</si>
  <si>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</si>
  <si>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</si>
  <si>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</si>
  <si>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</si>
  <si>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</si>
  <si>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</si>
  <si>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</si>
  <si>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</si>
  <si>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</si>
  <si>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</si>
  <si>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</si>
  <si>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</si>
  <si>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</si>
  <si>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</si>
  <si>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</si>
  <si>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</si>
  <si>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</si>
  <si>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</si>
  <si>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</si>
  <si>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</si>
  <si>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</si>
  <si>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</si>
  <si>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</si>
  <si>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</si>
  <si>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</si>
  <si>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</si>
  <si>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</si>
  <si>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</si>
  <si>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</si>
  <si>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</si>
  <si>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</si>
  <si>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</si>
  <si>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</si>
  <si>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</si>
  <si>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</si>
  <si>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</si>
  <si>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</si>
  <si>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</si>
  <si>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</si>
  <si>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</si>
  <si>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</si>
  <si>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</si>
  <si>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</si>
  <si>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</si>
  <si>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</si>
  <si>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</si>
  <si>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</si>
  <si>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</si>
  <si>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</si>
  <si>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</si>
  <si>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</si>
  <si>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</si>
  <si>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</si>
  <si>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</si>
  <si>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</si>
  <si>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</si>
  <si>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</si>
  <si>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</si>
  <si>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</si>
  <si>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</si>
  <si>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</si>
  <si>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</si>
  <si>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</si>
  <si>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</si>
  <si>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</si>
  <si>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</si>
  <si>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T7-4</t>
  </si>
  <si>
    <t xml:space="preserve">Trimethoprim </t>
  </si>
  <si>
    <t xml:space="preserve">Sulfamethoxazole  </t>
  </si>
  <si>
    <t>S12-4</t>
  </si>
  <si>
    <t>RUTTO KENNEDY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</si>
  <si>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</si>
  <si>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 xml:space="preserve">Sulfamethoxazole </t>
  </si>
  <si>
    <t>Resolution (USP</t>
  </si>
  <si>
    <t>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</si>
</sst>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26" fillId="2" borderId="0" xfId="0" applyFont="1" applyFill="1"/>
    <xf numFmtId="0" fontId="27" fillId="2" borderId="7" xfId="0" applyFont="1" applyFill="1" applyBorder="1"/>
    <xf numFmtId="2" fontId="25" fillId="2" borderId="0" xfId="0" applyNumberFormat="1" applyFont="1" applyFill="1" applyAlignment="1">
      <alignment horizontal="center"/>
    </xf>
    <xf numFmtId="10" fontId="2" fillId="2" borderId="0" xfId="0" applyNumberFormat="1" applyFont="1" applyFill="1" applyBorder="1"/>
    <xf numFmtId="0" fontId="25" fillId="2" borderId="1" xfId="0" applyFont="1" applyFill="1" applyBorder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7" workbookViewId="0">
      <selection activeCell="E31" sqref="E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6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71" t="s">
        <v>0</v>
      </c>
      <c r="B15" s="471"/>
      <c r="C15" s="471"/>
      <c r="D15" s="471"/>
      <c r="E15" s="471"/>
      <c r="F15" s="471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524" t="s">
        <v>138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12">
        <v>99.8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12">
        <v>18.850000000000001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13">
        <f>18.85/25*20/100</f>
        <v>0.15079999999999999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526" t="s">
        <v>139</v>
      </c>
      <c r="F23" s="16" t="s">
        <v>17</v>
      </c>
    </row>
    <row r="24" spans="1:7" ht="16.5" customHeight="1" x14ac:dyDescent="0.3">
      <c r="A24" s="17">
        <v>1</v>
      </c>
      <c r="B24" s="18">
        <v>60726689</v>
      </c>
      <c r="C24" s="18">
        <v>7250.24</v>
      </c>
      <c r="D24" s="19">
        <v>1.2</v>
      </c>
      <c r="E24" s="19">
        <v>7.6</v>
      </c>
      <c r="F24" s="20">
        <v>6.47</v>
      </c>
    </row>
    <row r="25" spans="1:7" ht="16.5" customHeight="1" x14ac:dyDescent="0.3">
      <c r="A25" s="17">
        <v>2</v>
      </c>
      <c r="B25" s="18">
        <v>61158142</v>
      </c>
      <c r="C25" s="18">
        <v>7260.92</v>
      </c>
      <c r="D25" s="19">
        <v>1.19</v>
      </c>
      <c r="E25" s="19">
        <v>7.61</v>
      </c>
      <c r="F25" s="19">
        <v>6.47</v>
      </c>
    </row>
    <row r="26" spans="1:7" ht="16.5" customHeight="1" x14ac:dyDescent="0.3">
      <c r="A26" s="17">
        <v>3</v>
      </c>
      <c r="B26" s="18">
        <v>60944257</v>
      </c>
      <c r="C26" s="18">
        <v>7264.28</v>
      </c>
      <c r="D26" s="19">
        <v>1.19</v>
      </c>
      <c r="E26" s="19">
        <v>7.61</v>
      </c>
      <c r="F26" s="19">
        <v>6.47</v>
      </c>
    </row>
    <row r="27" spans="1:7" ht="16.5" customHeight="1" x14ac:dyDescent="0.3">
      <c r="A27" s="17">
        <v>4</v>
      </c>
      <c r="B27" s="18">
        <v>61384725</v>
      </c>
      <c r="C27" s="18">
        <v>7360.26</v>
      </c>
      <c r="D27" s="19">
        <v>1.19</v>
      </c>
      <c r="E27" s="19">
        <v>7.62</v>
      </c>
      <c r="F27" s="19">
        <v>6.48</v>
      </c>
    </row>
    <row r="28" spans="1:7" ht="16.5" customHeight="1" x14ac:dyDescent="0.3">
      <c r="A28" s="17">
        <v>5</v>
      </c>
      <c r="B28" s="18">
        <v>61316149</v>
      </c>
      <c r="C28" s="18">
        <v>7256.72</v>
      </c>
      <c r="D28" s="19">
        <v>1.2</v>
      </c>
      <c r="E28" s="19">
        <v>7.62</v>
      </c>
      <c r="F28" s="19">
        <v>6.47</v>
      </c>
    </row>
    <row r="29" spans="1:7" ht="16.5" customHeight="1" x14ac:dyDescent="0.3">
      <c r="A29" s="17">
        <v>6</v>
      </c>
      <c r="B29" s="21">
        <v>61462550</v>
      </c>
      <c r="C29" s="21">
        <v>7289.83</v>
      </c>
      <c r="D29" s="22">
        <v>1.22</v>
      </c>
      <c r="E29" s="22">
        <v>7.62</v>
      </c>
      <c r="F29" s="22">
        <v>6.46</v>
      </c>
    </row>
    <row r="30" spans="1:7" ht="16.5" customHeight="1" x14ac:dyDescent="0.3">
      <c r="A30" s="23" t="s">
        <v>18</v>
      </c>
      <c r="B30" s="24">
        <f>AVERAGE(B24:B29)</f>
        <v>61165418.666666664</v>
      </c>
      <c r="C30" s="25">
        <f>AVERAGE(C24:C29)</f>
        <v>7280.375</v>
      </c>
      <c r="D30" s="26">
        <f>AVERAGE(D24:D29)</f>
        <v>1.1983333333333333</v>
      </c>
      <c r="E30" s="26">
        <v>7.61</v>
      </c>
      <c r="F30" s="26">
        <f>AVERAGE(F24:F29)</f>
        <v>6.47</v>
      </c>
    </row>
    <row r="31" spans="1:7" ht="16.5" customHeight="1" x14ac:dyDescent="0.3">
      <c r="A31" s="27" t="s">
        <v>19</v>
      </c>
      <c r="B31" s="28">
        <f>(STDEV(B24:B29)/B30)</f>
        <v>4.6274102106679954E-3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3">
      <c r="A37" s="10"/>
      <c r="B37" s="522" t="s">
        <v>137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/>
      <c r="C39" s="10"/>
      <c r="D39" s="10"/>
      <c r="E39" s="71"/>
      <c r="F39" s="10"/>
    </row>
    <row r="40" spans="1:7" ht="16.5" customHeight="1" x14ac:dyDescent="0.3">
      <c r="A40" s="11" t="s">
        <v>6</v>
      </c>
      <c r="B40" s="12"/>
      <c r="C40" s="10"/>
      <c r="D40" s="10"/>
      <c r="E40" s="71"/>
      <c r="F40" s="10"/>
    </row>
    <row r="41" spans="1:7" ht="16.5" customHeight="1" x14ac:dyDescent="0.3">
      <c r="A41" s="7" t="s">
        <v>8</v>
      </c>
      <c r="B41" s="12"/>
      <c r="C41" s="10"/>
      <c r="D41" s="10"/>
      <c r="E41" s="71"/>
      <c r="F41" s="10"/>
    </row>
    <row r="42" spans="1:7" ht="16.5" customHeight="1" x14ac:dyDescent="0.3">
      <c r="A42" s="7" t="s">
        <v>10</v>
      </c>
      <c r="B42" s="13"/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526" t="s">
        <v>140</v>
      </c>
      <c r="F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3">
      <c r="A58" s="41"/>
      <c r="B58" s="522" t="s">
        <v>137</v>
      </c>
      <c r="D58" s="42"/>
      <c r="E58" s="525"/>
      <c r="G58" s="43"/>
      <c r="H58" s="43"/>
    </row>
    <row r="59" spans="1:8" ht="15" customHeight="1" x14ac:dyDescent="0.3">
      <c r="B59" s="472" t="s">
        <v>26</v>
      </c>
      <c r="C59" s="472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523" t="s">
        <v>136</v>
      </c>
      <c r="C60" s="47"/>
      <c r="F60" s="47"/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workbookViewId="0">
      <selection activeCell="A48" sqref="A48"/>
    </sheetView>
  </sheetViews>
  <sheetFormatPr defaultRowHeight="13.5" x14ac:dyDescent="0.25"/>
  <cols>
    <col min="1" max="1" width="27.5703125" style="406" customWidth="1"/>
    <col min="2" max="2" width="20.42578125" style="406" customWidth="1"/>
    <col min="3" max="3" width="31.85546875" style="406" customWidth="1"/>
    <col min="4" max="4" width="25.85546875" style="406" customWidth="1"/>
    <col min="5" max="5" width="25.7109375" style="406" customWidth="1"/>
    <col min="6" max="6" width="23.140625" style="406" customWidth="1"/>
    <col min="7" max="7" width="28.42578125" style="406" customWidth="1"/>
    <col min="8" max="8" width="21.5703125" style="406" customWidth="1"/>
    <col min="9" max="9" width="9.140625" style="406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12" t="s">
        <v>133</v>
      </c>
      <c r="C18" s="71"/>
      <c r="D18" s="71"/>
      <c r="E18" s="71"/>
    </row>
    <row r="19" spans="1:5" ht="16.5" customHeight="1" x14ac:dyDescent="0.3">
      <c r="A19" s="74" t="s">
        <v>6</v>
      </c>
      <c r="B19" s="12">
        <v>99.3</v>
      </c>
      <c r="C19" s="71"/>
      <c r="D19" s="71"/>
      <c r="E19" s="71"/>
    </row>
    <row r="20" spans="1:5" ht="16.5" customHeight="1" x14ac:dyDescent="0.3">
      <c r="A20" s="8" t="s">
        <v>8</v>
      </c>
      <c r="B20" s="12">
        <v>20.420000000000002</v>
      </c>
      <c r="C20" s="71"/>
      <c r="D20" s="71"/>
      <c r="E20" s="71"/>
    </row>
    <row r="21" spans="1:5" ht="16.5" customHeight="1" x14ac:dyDescent="0.3">
      <c r="A21" s="8" t="s">
        <v>10</v>
      </c>
      <c r="B21" s="13">
        <f>20.42/25*4/100</f>
        <v>3.2672000000000007E-2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4507415</v>
      </c>
      <c r="C24" s="18">
        <v>5324.61</v>
      </c>
      <c r="D24" s="19">
        <v>1.69</v>
      </c>
      <c r="E24" s="20">
        <v>4.4000000000000004</v>
      </c>
    </row>
    <row r="25" spans="1:5" ht="16.5" customHeight="1" x14ac:dyDescent="0.3">
      <c r="A25" s="17">
        <v>2</v>
      </c>
      <c r="B25" s="18">
        <v>4538812</v>
      </c>
      <c r="C25" s="18">
        <v>5343.17</v>
      </c>
      <c r="D25" s="19">
        <v>1.71</v>
      </c>
      <c r="E25" s="19">
        <v>4.4000000000000004</v>
      </c>
    </row>
    <row r="26" spans="1:5" ht="16.5" customHeight="1" x14ac:dyDescent="0.3">
      <c r="A26" s="17">
        <v>3</v>
      </c>
      <c r="B26" s="18">
        <v>4512042</v>
      </c>
      <c r="C26" s="18">
        <v>5359.96</v>
      </c>
      <c r="D26" s="19">
        <v>1.71</v>
      </c>
      <c r="E26" s="19">
        <v>4.4000000000000004</v>
      </c>
    </row>
    <row r="27" spans="1:5" ht="16.5" customHeight="1" x14ac:dyDescent="0.3">
      <c r="A27" s="17">
        <v>4</v>
      </c>
      <c r="B27" s="18">
        <v>4517258</v>
      </c>
      <c r="C27" s="18">
        <v>5256.01</v>
      </c>
      <c r="D27" s="19">
        <v>1.77</v>
      </c>
      <c r="E27" s="19">
        <v>4.4000000000000004</v>
      </c>
    </row>
    <row r="28" spans="1:5" ht="16.5" customHeight="1" x14ac:dyDescent="0.3">
      <c r="A28" s="17">
        <v>5</v>
      </c>
      <c r="B28" s="18">
        <v>4528267</v>
      </c>
      <c r="C28" s="18">
        <v>5400.77</v>
      </c>
      <c r="D28" s="19">
        <v>1.74</v>
      </c>
      <c r="E28" s="19">
        <v>4.4000000000000004</v>
      </c>
    </row>
    <row r="29" spans="1:5" ht="16.5" customHeight="1" x14ac:dyDescent="0.3">
      <c r="A29" s="17">
        <v>6</v>
      </c>
      <c r="B29" s="21">
        <v>4532039</v>
      </c>
      <c r="C29" s="21">
        <v>5390.1</v>
      </c>
      <c r="D29" s="22">
        <v>1.74</v>
      </c>
      <c r="E29" s="22">
        <v>4.4000000000000004</v>
      </c>
    </row>
    <row r="30" spans="1:5" ht="16.5" customHeight="1" x14ac:dyDescent="0.3">
      <c r="A30" s="23" t="s">
        <v>18</v>
      </c>
      <c r="B30" s="24">
        <f>AVERAGE(B24:B29)</f>
        <v>4522638.833333333</v>
      </c>
      <c r="C30" s="25">
        <f>AVERAGE(C24:C29)</f>
        <v>5345.77</v>
      </c>
      <c r="D30" s="26">
        <f>AVERAGE(D24:D29)</f>
        <v>1.7266666666666666</v>
      </c>
      <c r="E30" s="26">
        <f>AVERAGE(E24:E29)</f>
        <v>4.3999999999999995</v>
      </c>
    </row>
    <row r="31" spans="1:5" ht="16.5" customHeight="1" x14ac:dyDescent="0.3">
      <c r="A31" s="27" t="s">
        <v>19</v>
      </c>
      <c r="B31" s="28">
        <f>(STDEV(B24:B29)/B30)</f>
        <v>2.7163632015678382E-3</v>
      </c>
      <c r="C31" s="29"/>
      <c r="D31" s="29"/>
      <c r="E31" s="30"/>
    </row>
    <row r="32" spans="1:5" s="406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406" customFormat="1" ht="15.75" customHeight="1" x14ac:dyDescent="0.25">
      <c r="A33" s="71"/>
      <c r="B33" s="71"/>
      <c r="C33" s="71"/>
      <c r="D33" s="71"/>
      <c r="E33" s="71"/>
    </row>
    <row r="34" spans="1:5" s="406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3">
      <c r="A37" s="71"/>
      <c r="B37" s="522" t="s">
        <v>137</v>
      </c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/>
      <c r="C39" s="71"/>
      <c r="D39" s="71"/>
      <c r="E39" s="71"/>
    </row>
    <row r="40" spans="1:5" ht="16.5" customHeight="1" x14ac:dyDescent="0.3">
      <c r="A40" s="74" t="s">
        <v>6</v>
      </c>
      <c r="B40" s="12"/>
      <c r="C40" s="71"/>
      <c r="D40" s="71"/>
      <c r="E40" s="71"/>
    </row>
    <row r="41" spans="1:5" ht="16.5" customHeight="1" x14ac:dyDescent="0.3">
      <c r="A41" s="8" t="s">
        <v>8</v>
      </c>
      <c r="B41" s="12"/>
      <c r="C41" s="71"/>
      <c r="D41" s="71"/>
      <c r="E41" s="71"/>
    </row>
    <row r="42" spans="1:5" ht="16.5" customHeight="1" x14ac:dyDescent="0.3">
      <c r="A42" s="8" t="s">
        <v>10</v>
      </c>
      <c r="B42" s="13"/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6" customFormat="1" ht="16.5" customHeight="1" x14ac:dyDescent="0.3">
      <c r="A53" s="31" t="s">
        <v>20</v>
      </c>
      <c r="B53" s="32">
        <f>COUNT(B45:B50)</f>
        <v>0</v>
      </c>
      <c r="C53" s="33"/>
      <c r="D53" s="72"/>
      <c r="E53" s="35"/>
    </row>
    <row r="54" spans="1:7" s="406" customFormat="1" ht="15.75" customHeight="1" x14ac:dyDescent="0.25">
      <c r="A54" s="71"/>
      <c r="B54" s="71"/>
      <c r="C54" s="71"/>
      <c r="D54" s="71"/>
      <c r="E54" s="71"/>
    </row>
    <row r="55" spans="1:7" s="406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522" t="s">
        <v>137</v>
      </c>
      <c r="D58" s="42"/>
      <c r="F58" s="43"/>
      <c r="G58" s="43"/>
    </row>
    <row r="59" spans="1:7" ht="15" customHeight="1" x14ac:dyDescent="0.3">
      <c r="B59" s="472" t="s">
        <v>26</v>
      </c>
      <c r="C59" s="472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 t="s">
        <v>136</v>
      </c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F23" sqref="F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90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89"/>
    </row>
    <row r="14" spans="1:7" ht="16.5" customHeight="1" x14ac:dyDescent="0.3">
      <c r="A14" s="480" t="s">
        <v>33</v>
      </c>
      <c r="B14" s="480"/>
      <c r="C14" s="59" t="s">
        <v>5</v>
      </c>
    </row>
    <row r="15" spans="1:7" ht="16.5" customHeight="1" x14ac:dyDescent="0.3">
      <c r="A15" s="480" t="s">
        <v>34</v>
      </c>
      <c r="B15" s="480"/>
      <c r="C15" s="59" t="s">
        <v>7</v>
      </c>
    </row>
    <row r="16" spans="1:7" ht="16.5" customHeight="1" x14ac:dyDescent="0.3">
      <c r="A16" s="480" t="s">
        <v>35</v>
      </c>
      <c r="B16" s="480"/>
      <c r="C16" s="59" t="s">
        <v>9</v>
      </c>
    </row>
    <row r="17" spans="1:5" ht="16.5" customHeight="1" x14ac:dyDescent="0.3">
      <c r="A17" s="480" t="s">
        <v>36</v>
      </c>
      <c r="B17" s="480"/>
      <c r="C17" s="59" t="s">
        <v>11</v>
      </c>
    </row>
    <row r="18" spans="1:5" ht="16.5" customHeight="1" x14ac:dyDescent="0.3">
      <c r="A18" s="480" t="s">
        <v>37</v>
      </c>
      <c r="B18" s="480"/>
      <c r="C18" s="96" t="s">
        <v>12</v>
      </c>
    </row>
    <row r="19" spans="1:5" ht="16.5" customHeight="1" x14ac:dyDescent="0.3">
      <c r="A19" s="480" t="s">
        <v>38</v>
      </c>
      <c r="B19" s="480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5" t="s">
        <v>1</v>
      </c>
      <c r="B21" s="475"/>
      <c r="C21" s="58" t="s">
        <v>39</v>
      </c>
      <c r="D21" s="65"/>
    </row>
    <row r="22" spans="1:5" ht="15.75" customHeight="1" x14ac:dyDescent="0.3">
      <c r="A22" s="479"/>
      <c r="B22" s="479"/>
      <c r="C22" s="56"/>
      <c r="D22" s="479"/>
      <c r="E22" s="479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524.16</v>
      </c>
      <c r="D24" s="86">
        <f t="shared" ref="D24:D43" si="0">(C24-$C$46)/$C$46</f>
        <v>-1.7009545599460198E-2</v>
      </c>
      <c r="E24" s="52"/>
    </row>
    <row r="25" spans="1:5" ht="15.75" customHeight="1" x14ac:dyDescent="0.3">
      <c r="C25" s="94">
        <v>529.94000000000005</v>
      </c>
      <c r="D25" s="87">
        <f t="shared" si="0"/>
        <v>-6.1699454269266108E-3</v>
      </c>
      <c r="E25" s="52"/>
    </row>
    <row r="26" spans="1:5" ht="15.75" customHeight="1" x14ac:dyDescent="0.3">
      <c r="C26" s="94">
        <v>529.41</v>
      </c>
      <c r="D26" s="87">
        <f t="shared" si="0"/>
        <v>-7.1638880033009448E-3</v>
      </c>
      <c r="E26" s="52"/>
    </row>
    <row r="27" spans="1:5" ht="15.75" customHeight="1" x14ac:dyDescent="0.3">
      <c r="C27" s="94">
        <v>536.87</v>
      </c>
      <c r="D27" s="87">
        <f t="shared" si="0"/>
        <v>6.8263226000035105E-3</v>
      </c>
      <c r="E27" s="52"/>
    </row>
    <row r="28" spans="1:5" ht="15.75" customHeight="1" x14ac:dyDescent="0.3">
      <c r="C28" s="94">
        <v>536.19000000000005</v>
      </c>
      <c r="D28" s="87">
        <f t="shared" si="0"/>
        <v>5.5510755208820249E-3</v>
      </c>
      <c r="E28" s="52"/>
    </row>
    <row r="29" spans="1:5" ht="15.75" customHeight="1" x14ac:dyDescent="0.3">
      <c r="C29" s="94">
        <v>530.29</v>
      </c>
      <c r="D29" s="87">
        <f t="shared" si="0"/>
        <v>-5.5135682538494978E-3</v>
      </c>
      <c r="E29" s="52"/>
    </row>
    <row r="30" spans="1:5" ht="15.75" customHeight="1" x14ac:dyDescent="0.3">
      <c r="C30" s="94">
        <v>545.58000000000004</v>
      </c>
      <c r="D30" s="87">
        <f t="shared" si="0"/>
        <v>2.3160737392869692E-2</v>
      </c>
      <c r="E30" s="52"/>
    </row>
    <row r="31" spans="1:5" ht="15.75" customHeight="1" x14ac:dyDescent="0.3">
      <c r="C31" s="94">
        <v>531.80999999999995</v>
      </c>
      <c r="D31" s="87">
        <f t="shared" si="0"/>
        <v>-2.6630159593424717E-3</v>
      </c>
      <c r="E31" s="52"/>
    </row>
    <row r="32" spans="1:5" ht="15.75" customHeight="1" x14ac:dyDescent="0.3">
      <c r="C32" s="94">
        <v>530.32000000000005</v>
      </c>
      <c r="D32" s="87">
        <f t="shared" si="0"/>
        <v>-5.4573073532998536E-3</v>
      </c>
      <c r="E32" s="52"/>
    </row>
    <row r="33" spans="1:7" ht="15.75" customHeight="1" x14ac:dyDescent="0.3">
      <c r="C33" s="94">
        <v>527.24</v>
      </c>
      <c r="D33" s="87">
        <f t="shared" si="0"/>
        <v>-1.1233426476380027E-2</v>
      </c>
      <c r="E33" s="52"/>
    </row>
    <row r="34" spans="1:7" ht="15.75" customHeight="1" x14ac:dyDescent="0.3">
      <c r="C34" s="94">
        <v>539.97</v>
      </c>
      <c r="D34" s="87">
        <f t="shared" si="0"/>
        <v>1.2639948990116636E-2</v>
      </c>
      <c r="E34" s="52"/>
    </row>
    <row r="35" spans="1:7" ht="15.75" customHeight="1" x14ac:dyDescent="0.3">
      <c r="C35" s="94">
        <v>541.76</v>
      </c>
      <c r="D35" s="87">
        <f t="shared" si="0"/>
        <v>1.5996849389568961E-2</v>
      </c>
      <c r="E35" s="52"/>
    </row>
    <row r="36" spans="1:7" ht="15.75" customHeight="1" x14ac:dyDescent="0.3">
      <c r="C36" s="94">
        <v>525.87</v>
      </c>
      <c r="D36" s="87">
        <f t="shared" si="0"/>
        <v>-1.3802674268139687E-2</v>
      </c>
      <c r="E36" s="52"/>
    </row>
    <row r="37" spans="1:7" ht="15.75" customHeight="1" x14ac:dyDescent="0.3">
      <c r="C37" s="94">
        <v>536.64</v>
      </c>
      <c r="D37" s="87">
        <f t="shared" si="0"/>
        <v>6.3949890291241183E-3</v>
      </c>
      <c r="E37" s="52"/>
    </row>
    <row r="38" spans="1:7" ht="15.75" customHeight="1" x14ac:dyDescent="0.3">
      <c r="C38" s="94">
        <v>538.92999999999995</v>
      </c>
      <c r="D38" s="87">
        <f t="shared" si="0"/>
        <v>1.0689571104401134E-2</v>
      </c>
      <c r="E38" s="52"/>
    </row>
    <row r="39" spans="1:7" ht="15.75" customHeight="1" x14ac:dyDescent="0.3">
      <c r="C39" s="94">
        <v>529.78</v>
      </c>
      <c r="D39" s="87">
        <f t="shared" si="0"/>
        <v>-6.4700035631906653E-3</v>
      </c>
      <c r="E39" s="52"/>
    </row>
    <row r="40" spans="1:7" ht="15.75" customHeight="1" x14ac:dyDescent="0.3">
      <c r="C40" s="94">
        <v>524.35</v>
      </c>
      <c r="D40" s="87">
        <f t="shared" si="0"/>
        <v>-1.6653226562646714E-2</v>
      </c>
      <c r="E40" s="52"/>
    </row>
    <row r="41" spans="1:7" ht="15.75" customHeight="1" x14ac:dyDescent="0.3">
      <c r="C41" s="94">
        <v>536.19000000000005</v>
      </c>
      <c r="D41" s="87">
        <f t="shared" si="0"/>
        <v>5.5510755208820249E-3</v>
      </c>
      <c r="E41" s="52"/>
    </row>
    <row r="42" spans="1:7" ht="15.75" customHeight="1" x14ac:dyDescent="0.3">
      <c r="C42" s="94">
        <v>539.46</v>
      </c>
      <c r="D42" s="87">
        <f t="shared" si="0"/>
        <v>1.1683513680775469E-2</v>
      </c>
      <c r="E42" s="52"/>
    </row>
    <row r="43" spans="1:7" ht="16.5" customHeight="1" x14ac:dyDescent="0.3">
      <c r="C43" s="95">
        <v>529.84</v>
      </c>
      <c r="D43" s="88">
        <f t="shared" si="0"/>
        <v>-6.3574817620915911E-3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10664.600000000002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533.23000000000013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3">
        <f>C46</f>
        <v>533.23000000000013</v>
      </c>
      <c r="C49" s="92">
        <f>-IF(C46&lt;=80,10%,IF(C46&lt;250,7.5%,5%))</f>
        <v>-0.05</v>
      </c>
      <c r="D49" s="80">
        <f>IF(C46&lt;=80,C46*0.9,IF(C46&lt;250,C46*0.925,C46*0.95))</f>
        <v>506.56850000000009</v>
      </c>
    </row>
    <row r="50" spans="1:6" ht="17.25" customHeight="1" x14ac:dyDescent="0.3">
      <c r="B50" s="474"/>
      <c r="C50" s="93">
        <f>IF(C46&lt;=80, 10%, IF(C46&lt;250, 7.5%, 5%))</f>
        <v>0.05</v>
      </c>
      <c r="D50" s="80">
        <f>IF(C46&lt;=80, C46*1.1, IF(C46&lt;250, C46*1.075, C46*1.05))</f>
        <v>559.89150000000018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0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0" zoomScaleNormal="40" zoomScalePageLayoutView="50" workbookViewId="0">
      <selection activeCell="B44" sqref="B44:B4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1" t="s">
        <v>45</v>
      </c>
      <c r="B1" s="481"/>
      <c r="C1" s="481"/>
      <c r="D1" s="481"/>
      <c r="E1" s="481"/>
      <c r="F1" s="481"/>
      <c r="G1" s="481"/>
      <c r="H1" s="481"/>
      <c r="I1" s="481"/>
    </row>
    <row r="2" spans="1:9" ht="18.75" customHeight="1" x14ac:dyDescent="0.25">
      <c r="A2" s="481"/>
      <c r="B2" s="481"/>
      <c r="C2" s="481"/>
      <c r="D2" s="481"/>
      <c r="E2" s="481"/>
      <c r="F2" s="481"/>
      <c r="G2" s="481"/>
      <c r="H2" s="481"/>
      <c r="I2" s="481"/>
    </row>
    <row r="3" spans="1:9" ht="18.75" customHeight="1" x14ac:dyDescent="0.25">
      <c r="A3" s="481"/>
      <c r="B3" s="481"/>
      <c r="C3" s="481"/>
      <c r="D3" s="481"/>
      <c r="E3" s="481"/>
      <c r="F3" s="481"/>
      <c r="G3" s="481"/>
      <c r="H3" s="481"/>
      <c r="I3" s="481"/>
    </row>
    <row r="4" spans="1:9" ht="18.75" customHeight="1" x14ac:dyDescent="0.25">
      <c r="A4" s="481"/>
      <c r="B4" s="481"/>
      <c r="C4" s="481"/>
      <c r="D4" s="481"/>
      <c r="E4" s="481"/>
      <c r="F4" s="481"/>
      <c r="G4" s="481"/>
      <c r="H4" s="481"/>
      <c r="I4" s="481"/>
    </row>
    <row r="5" spans="1:9" ht="18.75" customHeight="1" x14ac:dyDescent="0.25">
      <c r="A5" s="481"/>
      <c r="B5" s="481"/>
      <c r="C5" s="481"/>
      <c r="D5" s="481"/>
      <c r="E5" s="481"/>
      <c r="F5" s="481"/>
      <c r="G5" s="481"/>
      <c r="H5" s="481"/>
      <c r="I5" s="481"/>
    </row>
    <row r="6" spans="1:9" ht="18.75" customHeight="1" x14ac:dyDescent="0.25">
      <c r="A6" s="481"/>
      <c r="B6" s="481"/>
      <c r="C6" s="481"/>
      <c r="D6" s="481"/>
      <c r="E6" s="481"/>
      <c r="F6" s="481"/>
      <c r="G6" s="481"/>
      <c r="H6" s="481"/>
      <c r="I6" s="481"/>
    </row>
    <row r="7" spans="1:9" ht="18.75" customHeight="1" x14ac:dyDescent="0.25">
      <c r="A7" s="481"/>
      <c r="B7" s="481"/>
      <c r="C7" s="481"/>
      <c r="D7" s="481"/>
      <c r="E7" s="481"/>
      <c r="F7" s="481"/>
      <c r="G7" s="481"/>
      <c r="H7" s="481"/>
      <c r="I7" s="481"/>
    </row>
    <row r="8" spans="1:9" x14ac:dyDescent="0.25">
      <c r="A8" s="482" t="s">
        <v>46</v>
      </c>
      <c r="B8" s="482"/>
      <c r="C8" s="482"/>
      <c r="D8" s="482"/>
      <c r="E8" s="482"/>
      <c r="F8" s="482"/>
      <c r="G8" s="482"/>
      <c r="H8" s="482"/>
      <c r="I8" s="482"/>
    </row>
    <row r="9" spans="1:9" x14ac:dyDescent="0.25">
      <c r="A9" s="482"/>
      <c r="B9" s="482"/>
      <c r="C9" s="482"/>
      <c r="D9" s="482"/>
      <c r="E9" s="482"/>
      <c r="F9" s="482"/>
      <c r="G9" s="482"/>
      <c r="H9" s="482"/>
      <c r="I9" s="482"/>
    </row>
    <row r="10" spans="1:9" x14ac:dyDescent="0.25">
      <c r="A10" s="482"/>
      <c r="B10" s="482"/>
      <c r="C10" s="482"/>
      <c r="D10" s="482"/>
      <c r="E10" s="482"/>
      <c r="F10" s="482"/>
      <c r="G10" s="482"/>
      <c r="H10" s="482"/>
      <c r="I10" s="482"/>
    </row>
    <row r="11" spans="1:9" x14ac:dyDescent="0.25">
      <c r="A11" s="482"/>
      <c r="B11" s="482"/>
      <c r="C11" s="482"/>
      <c r="D11" s="482"/>
      <c r="E11" s="482"/>
      <c r="F11" s="482"/>
      <c r="G11" s="482"/>
      <c r="H11" s="482"/>
      <c r="I11" s="482"/>
    </row>
    <row r="12" spans="1:9" x14ac:dyDescent="0.25">
      <c r="A12" s="482"/>
      <c r="B12" s="482"/>
      <c r="C12" s="482"/>
      <c r="D12" s="482"/>
      <c r="E12" s="482"/>
      <c r="F12" s="482"/>
      <c r="G12" s="482"/>
      <c r="H12" s="482"/>
      <c r="I12" s="482"/>
    </row>
    <row r="13" spans="1:9" x14ac:dyDescent="0.25">
      <c r="A13" s="482"/>
      <c r="B13" s="482"/>
      <c r="C13" s="482"/>
      <c r="D13" s="482"/>
      <c r="E13" s="482"/>
      <c r="F13" s="482"/>
      <c r="G13" s="482"/>
      <c r="H13" s="482"/>
      <c r="I13" s="482"/>
    </row>
    <row r="14" spans="1:9" x14ac:dyDescent="0.25">
      <c r="A14" s="482"/>
      <c r="B14" s="482"/>
      <c r="C14" s="482"/>
      <c r="D14" s="482"/>
      <c r="E14" s="482"/>
      <c r="F14" s="482"/>
      <c r="G14" s="482"/>
      <c r="H14" s="482"/>
      <c r="I14" s="482"/>
    </row>
    <row r="15" spans="1:9" ht="19.5" customHeight="1" x14ac:dyDescent="0.3">
      <c r="A15" s="97"/>
    </row>
    <row r="16" spans="1:9" ht="19.5" customHeight="1" x14ac:dyDescent="0.3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99" t="s">
        <v>33</v>
      </c>
      <c r="B18" s="513" t="s">
        <v>5</v>
      </c>
      <c r="C18" s="513"/>
      <c r="D18" s="24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518" t="s">
        <v>134</v>
      </c>
      <c r="C20" s="518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518" t="s">
        <v>11</v>
      </c>
      <c r="C21" s="518"/>
      <c r="D21" s="518"/>
      <c r="E21" s="518"/>
      <c r="F21" s="518"/>
      <c r="G21" s="518"/>
      <c r="H21" s="518"/>
      <c r="I21" s="103"/>
    </row>
    <row r="22" spans="1:14" ht="26.25" customHeight="1" x14ac:dyDescent="0.4">
      <c r="A22" s="99" t="s">
        <v>37</v>
      </c>
      <c r="B22" s="104">
        <v>42653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42657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513" t="s">
        <v>134</v>
      </c>
      <c r="C26" s="513"/>
    </row>
    <row r="27" spans="1:14" ht="26.25" customHeight="1" x14ac:dyDescent="0.4">
      <c r="A27" s="108" t="s">
        <v>48</v>
      </c>
      <c r="B27" s="519" t="s">
        <v>135</v>
      </c>
      <c r="C27" s="519"/>
    </row>
    <row r="28" spans="1:14" ht="27" customHeight="1" x14ac:dyDescent="0.4">
      <c r="A28" s="108" t="s">
        <v>6</v>
      </c>
      <c r="B28" s="109">
        <v>99.8</v>
      </c>
    </row>
    <row r="29" spans="1:14" s="14" customFormat="1" ht="27" customHeight="1" x14ac:dyDescent="0.4">
      <c r="A29" s="108" t="s">
        <v>49</v>
      </c>
      <c r="B29" s="110">
        <v>0</v>
      </c>
      <c r="C29" s="489" t="s">
        <v>50</v>
      </c>
      <c r="D29" s="490"/>
      <c r="E29" s="490"/>
      <c r="F29" s="490"/>
      <c r="G29" s="491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99.8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92" t="s">
        <v>53</v>
      </c>
      <c r="D31" s="493"/>
      <c r="E31" s="493"/>
      <c r="F31" s="493"/>
      <c r="G31" s="493"/>
      <c r="H31" s="494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92" t="s">
        <v>55</v>
      </c>
      <c r="D32" s="493"/>
      <c r="E32" s="493"/>
      <c r="F32" s="493"/>
      <c r="G32" s="493"/>
      <c r="H32" s="494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25</v>
      </c>
      <c r="C36" s="98"/>
      <c r="D36" s="495" t="s">
        <v>59</v>
      </c>
      <c r="E36" s="520"/>
      <c r="F36" s="495" t="s">
        <v>60</v>
      </c>
      <c r="G36" s="496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20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100</v>
      </c>
      <c r="C38" s="130">
        <v>1</v>
      </c>
      <c r="D38" s="131">
        <v>63838447</v>
      </c>
      <c r="E38" s="132">
        <f>IF(ISBLANK(D38),"-",$D$48/$D$45*D38)</f>
        <v>67868837.941134259</v>
      </c>
      <c r="F38" s="131">
        <v>66616918</v>
      </c>
      <c r="G38" s="133">
        <f>IF(ISBLANK(F38),"-",$D$48/$F$45*F38)</f>
        <v>66451387.593504578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61894204</v>
      </c>
      <c r="E39" s="137">
        <f>IF(ISBLANK(D39),"-",$D$48/$D$45*D39)</f>
        <v>65801846.664150588</v>
      </c>
      <c r="F39" s="136">
        <v>66571540</v>
      </c>
      <c r="G39" s="138">
        <f>IF(ISBLANK(F39),"-",$D$48/$F$45*F39)</f>
        <v>66406122.349228077</v>
      </c>
      <c r="I39" s="497">
        <f>ABS((F43/D43*D42)-F42)/D42</f>
        <v>9.7132389257859378E-4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62018536</v>
      </c>
      <c r="E40" s="137">
        <f>IF(ISBLANK(D40),"-",$D$48/$D$45*D40)</f>
        <v>65934028.268739074</v>
      </c>
      <c r="F40" s="136">
        <v>66731103</v>
      </c>
      <c r="G40" s="138">
        <f>IF(ISBLANK(F40),"-",$D$48/$F$45*F40)</f>
        <v>66565288.865436196</v>
      </c>
      <c r="I40" s="497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62583729</v>
      </c>
      <c r="E42" s="147">
        <f>AVERAGE(E38:E41)</f>
        <v>66534904.291341305</v>
      </c>
      <c r="F42" s="146">
        <f>AVERAGE(F38:F41)</f>
        <v>66639853.666666664</v>
      </c>
      <c r="G42" s="148">
        <f>AVERAGE(G38:G41)</f>
        <v>66474266.269389622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18.850000000000001</v>
      </c>
      <c r="E43" s="139"/>
      <c r="F43" s="151">
        <v>20.09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18.850000000000001</v>
      </c>
      <c r="E44" s="154"/>
      <c r="F44" s="153">
        <f>F43*$B$34</f>
        <v>20.09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125</v>
      </c>
      <c r="C45" s="152" t="s">
        <v>77</v>
      </c>
      <c r="D45" s="156">
        <f>D44*$B$30/100</f>
        <v>18.8123</v>
      </c>
      <c r="E45" s="157"/>
      <c r="F45" s="156">
        <f>F44*$B$30/100</f>
        <v>20.04982</v>
      </c>
      <c r="H45" s="149"/>
    </row>
    <row r="46" spans="1:14" ht="19.5" customHeight="1" x14ac:dyDescent="0.3">
      <c r="A46" s="483" t="s">
        <v>78</v>
      </c>
      <c r="B46" s="484"/>
      <c r="C46" s="152" t="s">
        <v>79</v>
      </c>
      <c r="D46" s="158">
        <f>D45/$B$45</f>
        <v>0.1504984</v>
      </c>
      <c r="E46" s="159"/>
      <c r="F46" s="160">
        <f>F45/$B$45</f>
        <v>0.16039856</v>
      </c>
      <c r="H46" s="149"/>
    </row>
    <row r="47" spans="1:14" ht="27" customHeight="1" x14ac:dyDescent="0.4">
      <c r="A47" s="485"/>
      <c r="B47" s="486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66504585.28036546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1.1042960735870648E-2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tablet contains: Sulfamethoxazole 400 mg and Trimethoprim 80 mg</v>
      </c>
    </row>
    <row r="56" spans="1:12" ht="26.25" customHeight="1" x14ac:dyDescent="0.4">
      <c r="A56" s="176" t="s">
        <v>87</v>
      </c>
      <c r="B56" s="177">
        <v>400</v>
      </c>
      <c r="C56" s="98" t="str">
        <f>B20</f>
        <v xml:space="preserve">Sulfamethoxazole  </v>
      </c>
      <c r="H56" s="178"/>
    </row>
    <row r="57" spans="1:12" ht="18.75" x14ac:dyDescent="0.3">
      <c r="A57" s="175" t="s">
        <v>88</v>
      </c>
      <c r="B57" s="246">
        <f>Uniformity!C46</f>
        <v>533.23000000000013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500" t="s">
        <v>94</v>
      </c>
      <c r="D60" s="503">
        <v>210.53</v>
      </c>
      <c r="E60" s="181">
        <v>1</v>
      </c>
      <c r="F60" s="182"/>
      <c r="G60" s="247" t="str">
        <f>IF(ISBLANK(F60),"-",(F60/$D$50*$D$47*$B$68)*($B$57/$D$60))</f>
        <v>-</v>
      </c>
      <c r="H60" s="265" t="str">
        <f t="shared" ref="H60:H71" si="0">IF(ISBLANK(F60),"-",(G60/$B$56)*100)</f>
        <v>-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501"/>
      <c r="D61" s="504"/>
      <c r="E61" s="183">
        <v>2</v>
      </c>
      <c r="F61" s="136"/>
      <c r="G61" s="248" t="str">
        <f>IF(ISBLANK(F61),"-",(F61/$D$50*$D$47*$B$68)*($B$57/$D$60))</f>
        <v>-</v>
      </c>
      <c r="H61" s="266" t="str">
        <f t="shared" si="0"/>
        <v>-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01"/>
      <c r="D62" s="504"/>
      <c r="E62" s="183">
        <v>3</v>
      </c>
      <c r="F62" s="184"/>
      <c r="G62" s="248" t="str">
        <f>IF(ISBLANK(F62),"-",(F62/$D$50*$D$47*$B$68)*($B$57/$D$60))</f>
        <v>-</v>
      </c>
      <c r="H62" s="266" t="str">
        <f t="shared" si="0"/>
        <v>-</v>
      </c>
      <c r="L62" s="111"/>
    </row>
    <row r="63" spans="1:12" ht="27" customHeight="1" x14ac:dyDescent="0.4">
      <c r="A63" s="123" t="s">
        <v>97</v>
      </c>
      <c r="B63" s="124">
        <v>1</v>
      </c>
      <c r="C63" s="510"/>
      <c r="D63" s="505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00" t="s">
        <v>99</v>
      </c>
      <c r="D64" s="503">
        <v>213.22</v>
      </c>
      <c r="E64" s="181">
        <v>1</v>
      </c>
      <c r="F64" s="182">
        <v>65109637</v>
      </c>
      <c r="G64" s="247">
        <f>IF(ISBLANK(F64),"-",(F64/$D$50*$D$47*$B$68)*($B$57/$D$64))</f>
        <v>391.74215075889657</v>
      </c>
      <c r="H64" s="265">
        <f t="shared" si="0"/>
        <v>97.935537689724143</v>
      </c>
    </row>
    <row r="65" spans="1:8" ht="26.25" customHeight="1" x14ac:dyDescent="0.4">
      <c r="A65" s="123" t="s">
        <v>100</v>
      </c>
      <c r="B65" s="124">
        <v>1</v>
      </c>
      <c r="C65" s="501"/>
      <c r="D65" s="504"/>
      <c r="E65" s="183">
        <v>2</v>
      </c>
      <c r="F65" s="136">
        <v>65078171</v>
      </c>
      <c r="G65" s="248">
        <f>IF(ISBLANK(F65),"-",(F65/$D$50*$D$47*$B$68)*($B$57/$D$64))</f>
        <v>391.55283072758112</v>
      </c>
      <c r="H65" s="266">
        <f t="shared" si="0"/>
        <v>97.888207681895281</v>
      </c>
    </row>
    <row r="66" spans="1:8" ht="26.25" customHeight="1" x14ac:dyDescent="0.4">
      <c r="A66" s="123" t="s">
        <v>101</v>
      </c>
      <c r="B66" s="124">
        <v>1</v>
      </c>
      <c r="C66" s="501"/>
      <c r="D66" s="504"/>
      <c r="E66" s="183">
        <v>3</v>
      </c>
      <c r="F66" s="136">
        <v>65175506</v>
      </c>
      <c r="G66" s="248">
        <f>IF(ISBLANK(F66),"-",(F66/$D$50*$D$47*$B$68)*($B$57/$D$64))</f>
        <v>392.13846173400373</v>
      </c>
      <c r="H66" s="266">
        <f t="shared" si="0"/>
        <v>98.034615433500932</v>
      </c>
    </row>
    <row r="67" spans="1:8" ht="27" customHeight="1" x14ac:dyDescent="0.4">
      <c r="A67" s="123" t="s">
        <v>102</v>
      </c>
      <c r="B67" s="124">
        <v>1</v>
      </c>
      <c r="C67" s="510"/>
      <c r="D67" s="505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1000</v>
      </c>
      <c r="C68" s="500" t="s">
        <v>104</v>
      </c>
      <c r="D68" s="503">
        <v>215.17</v>
      </c>
      <c r="E68" s="181">
        <v>1</v>
      </c>
      <c r="F68" s="182">
        <v>65183087</v>
      </c>
      <c r="G68" s="247">
        <f>IF(ISBLANK(F68),"-",(F68/$D$50*$D$47*$B$68)*($B$57/$D$68))</f>
        <v>388.62986594571481</v>
      </c>
      <c r="H68" s="266">
        <f t="shared" si="0"/>
        <v>97.157466486428703</v>
      </c>
    </row>
    <row r="69" spans="1:8" ht="27" customHeight="1" x14ac:dyDescent="0.4">
      <c r="A69" s="171" t="s">
        <v>105</v>
      </c>
      <c r="B69" s="188">
        <f>(D47*B68)/B56*B57</f>
        <v>213.29200000000006</v>
      </c>
      <c r="C69" s="501"/>
      <c r="D69" s="504"/>
      <c r="E69" s="183">
        <v>2</v>
      </c>
      <c r="F69" s="136">
        <v>65209215</v>
      </c>
      <c r="G69" s="248">
        <f>IF(ISBLANK(F69),"-",(F69/$D$50*$D$47*$B$68)*($B$57/$D$68))</f>
        <v>388.78564440919001</v>
      </c>
      <c r="H69" s="266">
        <f t="shared" si="0"/>
        <v>97.196411102297503</v>
      </c>
    </row>
    <row r="70" spans="1:8" ht="26.25" customHeight="1" x14ac:dyDescent="0.4">
      <c r="A70" s="506" t="s">
        <v>78</v>
      </c>
      <c r="B70" s="507"/>
      <c r="C70" s="501"/>
      <c r="D70" s="504"/>
      <c r="E70" s="183">
        <v>3</v>
      </c>
      <c r="F70" s="136">
        <v>65141793</v>
      </c>
      <c r="G70" s="248">
        <f>IF(ISBLANK(F70),"-",(F70/$D$50*$D$47*$B$68)*($B$57/$D$68))</f>
        <v>388.38366585880635</v>
      </c>
      <c r="H70" s="266">
        <f t="shared" si="0"/>
        <v>97.095916464701588</v>
      </c>
    </row>
    <row r="71" spans="1:8" ht="27" customHeight="1" x14ac:dyDescent="0.4">
      <c r="A71" s="508"/>
      <c r="B71" s="509"/>
      <c r="C71" s="502"/>
      <c r="D71" s="505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390.20543657236539</v>
      </c>
      <c r="H72" s="268">
        <f>AVERAGE(H60:H71)</f>
        <v>97.551359143091346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4.5456367204800745E-3</v>
      </c>
      <c r="H73" s="252">
        <f>STDEV(H60:H71)/H72</f>
        <v>4.5456367204800745E-3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6</v>
      </c>
      <c r="H74" s="195">
        <f>COUNT(H60:H71)</f>
        <v>6</v>
      </c>
    </row>
    <row r="76" spans="1:8" ht="26.25" customHeight="1" x14ac:dyDescent="0.4">
      <c r="A76" s="107" t="s">
        <v>106</v>
      </c>
      <c r="B76" s="196" t="s">
        <v>107</v>
      </c>
      <c r="C76" s="487" t="str">
        <f>B26</f>
        <v xml:space="preserve">Sulfamethoxazole  </v>
      </c>
      <c r="D76" s="487"/>
      <c r="E76" s="197" t="s">
        <v>108</v>
      </c>
      <c r="F76" s="197"/>
      <c r="G76" s="198">
        <f>H72</f>
        <v>97.551359143091346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21" t="str">
        <f>B26</f>
        <v xml:space="preserve">Sulfamethoxazole  </v>
      </c>
      <c r="C79" s="521"/>
    </row>
    <row r="80" spans="1:8" ht="26.25" customHeight="1" x14ac:dyDescent="0.4">
      <c r="A80" s="108" t="s">
        <v>48</v>
      </c>
      <c r="B80" s="521" t="str">
        <f>B27</f>
        <v>S12-4</v>
      </c>
      <c r="C80" s="521"/>
    </row>
    <row r="81" spans="1:12" ht="27" customHeight="1" x14ac:dyDescent="0.4">
      <c r="A81" s="108" t="s">
        <v>6</v>
      </c>
      <c r="B81" s="200">
        <f>B28</f>
        <v>99.8</v>
      </c>
    </row>
    <row r="82" spans="1:12" s="14" customFormat="1" ht="27" customHeight="1" x14ac:dyDescent="0.4">
      <c r="A82" s="108" t="s">
        <v>49</v>
      </c>
      <c r="B82" s="110">
        <v>0</v>
      </c>
      <c r="C82" s="489" t="s">
        <v>50</v>
      </c>
      <c r="D82" s="490"/>
      <c r="E82" s="490"/>
      <c r="F82" s="490"/>
      <c r="G82" s="491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99.8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92" t="s">
        <v>111</v>
      </c>
      <c r="D84" s="493"/>
      <c r="E84" s="493"/>
      <c r="F84" s="493"/>
      <c r="G84" s="493"/>
      <c r="H84" s="494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92" t="s">
        <v>112</v>
      </c>
      <c r="D85" s="493"/>
      <c r="E85" s="493"/>
      <c r="F85" s="493"/>
      <c r="G85" s="493"/>
      <c r="H85" s="494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25</v>
      </c>
      <c r="D89" s="201" t="s">
        <v>59</v>
      </c>
      <c r="E89" s="202"/>
      <c r="F89" s="495" t="s">
        <v>60</v>
      </c>
      <c r="G89" s="496"/>
    </row>
    <row r="90" spans="1:12" ht="27" customHeight="1" x14ac:dyDescent="0.4">
      <c r="A90" s="123" t="s">
        <v>61</v>
      </c>
      <c r="B90" s="124">
        <v>20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100</v>
      </c>
      <c r="C91" s="205">
        <v>1</v>
      </c>
      <c r="D91" s="131">
        <v>63838447</v>
      </c>
      <c r="E91" s="132">
        <f>IF(ISBLANK(D91),"-",$D$101/$D$98*D91)</f>
        <v>75409819.934593618</v>
      </c>
      <c r="F91" s="131">
        <v>66616918</v>
      </c>
      <c r="G91" s="133">
        <f>IF(ISBLANK(F91),"-",$D$101/$F$98*F91)</f>
        <v>73834875.10389398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61894204</v>
      </c>
      <c r="E92" s="137">
        <f>IF(ISBLANK(D92),"-",$D$101/$D$98*D92)</f>
        <v>73113162.960167319</v>
      </c>
      <c r="F92" s="136">
        <v>66571540</v>
      </c>
      <c r="G92" s="138">
        <f>IF(ISBLANK(F92),"-",$D$101/$F$98*F92)</f>
        <v>73784580.3880312</v>
      </c>
      <c r="I92" s="497">
        <f>ABS((F96/D96*D95)-F95)/D95</f>
        <v>9.7132389257859378E-4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62018536</v>
      </c>
      <c r="E93" s="137">
        <f>IF(ISBLANK(D93),"-",$D$101/$D$98*D93)</f>
        <v>73260031.409710079</v>
      </c>
      <c r="F93" s="136">
        <v>66731103</v>
      </c>
      <c r="G93" s="138">
        <f>IF(ISBLANK(F93),"-",$D$101/$F$98*F93)</f>
        <v>73961432.072706893</v>
      </c>
      <c r="I93" s="497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>
        <f>AVERAGE(D91:D94)</f>
        <v>62583729</v>
      </c>
      <c r="E95" s="147">
        <f>AVERAGE(E91:E94)</f>
        <v>73927671.434823677</v>
      </c>
      <c r="F95" s="210">
        <f>AVERAGE(F91:F94)</f>
        <v>66639853.666666664</v>
      </c>
      <c r="G95" s="211">
        <f>AVERAGE(G91:G94)</f>
        <v>73860295.854877353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213">
        <v>18.850000000000001</v>
      </c>
      <c r="E96" s="139"/>
      <c r="F96" s="151">
        <v>20.09</v>
      </c>
    </row>
    <row r="97" spans="1:10" ht="26.25" customHeight="1" x14ac:dyDescent="0.4">
      <c r="A97" s="123" t="s">
        <v>74</v>
      </c>
      <c r="B97" s="109">
        <v>1</v>
      </c>
      <c r="C97" s="214" t="s">
        <v>114</v>
      </c>
      <c r="D97" s="215">
        <f>D96*$B$87</f>
        <v>18.850000000000001</v>
      </c>
      <c r="E97" s="154"/>
      <c r="F97" s="153">
        <f>F96*$B$87</f>
        <v>20.09</v>
      </c>
    </row>
    <row r="98" spans="1:10" ht="19.5" customHeight="1" x14ac:dyDescent="0.3">
      <c r="A98" s="123" t="s">
        <v>76</v>
      </c>
      <c r="B98" s="216">
        <f>(B97/B96)*(B95/B94)*(B93/B92)*(B91/B90)*B89</f>
        <v>125</v>
      </c>
      <c r="C98" s="214" t="s">
        <v>115</v>
      </c>
      <c r="D98" s="217">
        <f>D97*$B$83/100</f>
        <v>18.8123</v>
      </c>
      <c r="E98" s="157"/>
      <c r="F98" s="156">
        <f>F97*$B$83/100</f>
        <v>20.04982</v>
      </c>
    </row>
    <row r="99" spans="1:10" ht="19.5" customHeight="1" x14ac:dyDescent="0.3">
      <c r="A99" s="483" t="s">
        <v>78</v>
      </c>
      <c r="B99" s="498"/>
      <c r="C99" s="214" t="s">
        <v>116</v>
      </c>
      <c r="D99" s="218">
        <f>D98/$B$98</f>
        <v>0.1504984</v>
      </c>
      <c r="E99" s="157"/>
      <c r="F99" s="160">
        <f>F98/$B$98</f>
        <v>0.16039856</v>
      </c>
      <c r="G99" s="219"/>
      <c r="H99" s="149"/>
    </row>
    <row r="100" spans="1:10" ht="19.5" customHeight="1" x14ac:dyDescent="0.3">
      <c r="A100" s="485"/>
      <c r="B100" s="499"/>
      <c r="C100" s="214" t="s">
        <v>80</v>
      </c>
      <c r="D100" s="220">
        <f>$B$56/$B$116</f>
        <v>0.17777777777777778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22.222222222222221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22.222222222222221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73893983.644850507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1.1042960735870645E-2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3" t="s">
        <v>122</v>
      </c>
      <c r="B108" s="124">
        <v>10</v>
      </c>
      <c r="C108" s="274">
        <v>1</v>
      </c>
      <c r="D108" s="275">
        <v>73000055</v>
      </c>
      <c r="E108" s="249">
        <f t="shared" ref="E108:E113" si="1">IF(ISBLANK(D108),"-",D108/$D$103*$D$100*$B$116)</f>
        <v>395.1610206906862</v>
      </c>
      <c r="F108" s="276">
        <f t="shared" ref="F108:F113" si="2">IF(ISBLANK(D108), "-", (E108/$B$56)*100)</f>
        <v>98.79025517267155</v>
      </c>
    </row>
    <row r="109" spans="1:10" ht="26.25" customHeight="1" x14ac:dyDescent="0.4">
      <c r="A109" s="123" t="s">
        <v>95</v>
      </c>
      <c r="B109" s="124">
        <v>25</v>
      </c>
      <c r="C109" s="270">
        <v>2</v>
      </c>
      <c r="D109" s="272">
        <v>69119662</v>
      </c>
      <c r="E109" s="250">
        <f t="shared" si="1"/>
        <v>374.15583023485715</v>
      </c>
      <c r="F109" s="277">
        <f t="shared" si="2"/>
        <v>93.538957558714287</v>
      </c>
    </row>
    <row r="110" spans="1:10" ht="26.25" customHeight="1" x14ac:dyDescent="0.4">
      <c r="A110" s="123" t="s">
        <v>96</v>
      </c>
      <c r="B110" s="124">
        <v>1</v>
      </c>
      <c r="C110" s="270">
        <v>3</v>
      </c>
      <c r="D110" s="272">
        <v>69447163</v>
      </c>
      <c r="E110" s="250">
        <f t="shared" si="1"/>
        <v>375.92864574078004</v>
      </c>
      <c r="F110" s="277">
        <f t="shared" si="2"/>
        <v>93.98216143519501</v>
      </c>
    </row>
    <row r="111" spans="1:10" ht="26.25" customHeight="1" x14ac:dyDescent="0.4">
      <c r="A111" s="123" t="s">
        <v>97</v>
      </c>
      <c r="B111" s="124">
        <v>1</v>
      </c>
      <c r="C111" s="270">
        <v>4</v>
      </c>
      <c r="D111" s="272">
        <v>72111098</v>
      </c>
      <c r="E111" s="250">
        <f t="shared" si="1"/>
        <v>390.34895369333771</v>
      </c>
      <c r="F111" s="277">
        <f t="shared" si="2"/>
        <v>97.587238423334426</v>
      </c>
    </row>
    <row r="112" spans="1:10" ht="26.25" customHeight="1" x14ac:dyDescent="0.4">
      <c r="A112" s="123" t="s">
        <v>98</v>
      </c>
      <c r="B112" s="124">
        <v>1</v>
      </c>
      <c r="C112" s="270">
        <v>5</v>
      </c>
      <c r="D112" s="272">
        <v>69425296</v>
      </c>
      <c r="E112" s="250">
        <f t="shared" si="1"/>
        <v>375.81027615818942</v>
      </c>
      <c r="F112" s="277">
        <f t="shared" si="2"/>
        <v>93.952569039547356</v>
      </c>
    </row>
    <row r="113" spans="1:10" ht="27" customHeight="1" x14ac:dyDescent="0.4">
      <c r="A113" s="123" t="s">
        <v>100</v>
      </c>
      <c r="B113" s="124">
        <v>1</v>
      </c>
      <c r="C113" s="271">
        <v>6</v>
      </c>
      <c r="D113" s="273">
        <v>70394680</v>
      </c>
      <c r="E113" s="251">
        <f t="shared" si="1"/>
        <v>381.0577074221963</v>
      </c>
      <c r="F113" s="278">
        <f t="shared" si="2"/>
        <v>95.264426855549075</v>
      </c>
    </row>
    <row r="114" spans="1:10" ht="27" customHeight="1" x14ac:dyDescent="0.4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382.07707232334116</v>
      </c>
      <c r="F115" s="280">
        <f>AVERAGE(F108:F113)</f>
        <v>95.519268080835289</v>
      </c>
    </row>
    <row r="116" spans="1:10" ht="27" customHeight="1" x14ac:dyDescent="0.4">
      <c r="A116" s="123" t="s">
        <v>103</v>
      </c>
      <c r="B116" s="155">
        <f>(B115/B114)*(B113/B112)*(B111/B110)*(B109/B108)*B107</f>
        <v>2250</v>
      </c>
      <c r="C116" s="233"/>
      <c r="D116" s="257" t="s">
        <v>84</v>
      </c>
      <c r="E116" s="255">
        <f>STDEV(E108:E113)/E115</f>
        <v>2.2831106716993118E-2</v>
      </c>
      <c r="F116" s="234">
        <f>STDEV(F108:F113)/F115</f>
        <v>2.2831106716993118E-2</v>
      </c>
      <c r="I116" s="97"/>
    </row>
    <row r="117" spans="1:10" ht="27" customHeight="1" x14ac:dyDescent="0.4">
      <c r="A117" s="483" t="s">
        <v>78</v>
      </c>
      <c r="B117" s="484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">
      <c r="A118" s="485"/>
      <c r="B118" s="486"/>
      <c r="C118" s="97"/>
      <c r="D118" s="259"/>
      <c r="E118" s="511" t="s">
        <v>123</v>
      </c>
      <c r="F118" s="512"/>
      <c r="G118" s="97"/>
      <c r="H118" s="97"/>
      <c r="I118" s="97"/>
    </row>
    <row r="119" spans="1:10" ht="25.5" customHeight="1" x14ac:dyDescent="0.4">
      <c r="A119" s="244"/>
      <c r="B119" s="119"/>
      <c r="C119" s="97"/>
      <c r="D119" s="257" t="s">
        <v>124</v>
      </c>
      <c r="E119" s="262">
        <f>MIN(E108:E113)</f>
        <v>374.15583023485715</v>
      </c>
      <c r="F119" s="281">
        <f>MIN(F108:F113)</f>
        <v>93.538957558714287</v>
      </c>
      <c r="G119" s="97"/>
      <c r="H119" s="97"/>
      <c r="I119" s="97"/>
    </row>
    <row r="120" spans="1:10" ht="24" customHeight="1" x14ac:dyDescent="0.4">
      <c r="A120" s="244"/>
      <c r="B120" s="119"/>
      <c r="C120" s="97"/>
      <c r="D120" s="166" t="s">
        <v>125</v>
      </c>
      <c r="E120" s="263">
        <f>MAX(E108:E113)</f>
        <v>395.1610206906862</v>
      </c>
      <c r="F120" s="282">
        <f>MAX(F108:F113)</f>
        <v>98.79025517267155</v>
      </c>
      <c r="G120" s="97"/>
      <c r="H120" s="97"/>
      <c r="I120" s="97"/>
    </row>
    <row r="121" spans="1:10" ht="27" customHeight="1" x14ac:dyDescent="0.3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487" t="str">
        <f>B26</f>
        <v xml:space="preserve">Sulfamethoxazole  </v>
      </c>
      <c r="D124" s="487"/>
      <c r="E124" s="197" t="s">
        <v>127</v>
      </c>
      <c r="F124" s="197"/>
      <c r="G124" s="283">
        <f>F115</f>
        <v>95.519268080835289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3">
        <f>MIN(F108:F113)</f>
        <v>93.538957558714287</v>
      </c>
      <c r="E125" s="208" t="s">
        <v>130</v>
      </c>
      <c r="F125" s="283">
        <f>MAX(F108:F113)</f>
        <v>98.79025517267155</v>
      </c>
      <c r="G125" s="198"/>
      <c r="H125" s="97"/>
      <c r="I125" s="97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488" t="s">
        <v>26</v>
      </c>
      <c r="C127" s="488"/>
      <c r="E127" s="203" t="s">
        <v>27</v>
      </c>
      <c r="F127" s="238"/>
      <c r="G127" s="488" t="s">
        <v>28</v>
      </c>
      <c r="H127" s="488"/>
    </row>
    <row r="128" spans="1:10" ht="69.95" customHeight="1" x14ac:dyDescent="0.3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41" sqref="A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1" t="s">
        <v>45</v>
      </c>
      <c r="B1" s="481"/>
      <c r="C1" s="481"/>
      <c r="D1" s="481"/>
      <c r="E1" s="481"/>
      <c r="F1" s="481"/>
      <c r="G1" s="481"/>
      <c r="H1" s="481"/>
      <c r="I1" s="481"/>
    </row>
    <row r="2" spans="1:9" ht="18.75" customHeight="1" x14ac:dyDescent="0.25">
      <c r="A2" s="481"/>
      <c r="B2" s="481"/>
      <c r="C2" s="481"/>
      <c r="D2" s="481"/>
      <c r="E2" s="481"/>
      <c r="F2" s="481"/>
      <c r="G2" s="481"/>
      <c r="H2" s="481"/>
      <c r="I2" s="481"/>
    </row>
    <row r="3" spans="1:9" ht="18.75" customHeight="1" x14ac:dyDescent="0.25">
      <c r="A3" s="481"/>
      <c r="B3" s="481"/>
      <c r="C3" s="481"/>
      <c r="D3" s="481"/>
      <c r="E3" s="481"/>
      <c r="F3" s="481"/>
      <c r="G3" s="481"/>
      <c r="H3" s="481"/>
      <c r="I3" s="481"/>
    </row>
    <row r="4" spans="1:9" ht="18.75" customHeight="1" x14ac:dyDescent="0.25">
      <c r="A4" s="481"/>
      <c r="B4" s="481"/>
      <c r="C4" s="481"/>
      <c r="D4" s="481"/>
      <c r="E4" s="481"/>
      <c r="F4" s="481"/>
      <c r="G4" s="481"/>
      <c r="H4" s="481"/>
      <c r="I4" s="481"/>
    </row>
    <row r="5" spans="1:9" ht="18.75" customHeight="1" x14ac:dyDescent="0.25">
      <c r="A5" s="481"/>
      <c r="B5" s="481"/>
      <c r="C5" s="481"/>
      <c r="D5" s="481"/>
      <c r="E5" s="481"/>
      <c r="F5" s="481"/>
      <c r="G5" s="481"/>
      <c r="H5" s="481"/>
      <c r="I5" s="481"/>
    </row>
    <row r="6" spans="1:9" ht="18.75" customHeight="1" x14ac:dyDescent="0.25">
      <c r="A6" s="481"/>
      <c r="B6" s="481"/>
      <c r="C6" s="481"/>
      <c r="D6" s="481"/>
      <c r="E6" s="481"/>
      <c r="F6" s="481"/>
      <c r="G6" s="481"/>
      <c r="H6" s="481"/>
      <c r="I6" s="481"/>
    </row>
    <row r="7" spans="1:9" ht="18.75" customHeight="1" x14ac:dyDescent="0.25">
      <c r="A7" s="481"/>
      <c r="B7" s="481"/>
      <c r="C7" s="481"/>
      <c r="D7" s="481"/>
      <c r="E7" s="481"/>
      <c r="F7" s="481"/>
      <c r="G7" s="481"/>
      <c r="H7" s="481"/>
      <c r="I7" s="481"/>
    </row>
    <row r="8" spans="1:9" x14ac:dyDescent="0.25">
      <c r="A8" s="482" t="s">
        <v>46</v>
      </c>
      <c r="B8" s="482"/>
      <c r="C8" s="482"/>
      <c r="D8" s="482"/>
      <c r="E8" s="482"/>
      <c r="F8" s="482"/>
      <c r="G8" s="482"/>
      <c r="H8" s="482"/>
      <c r="I8" s="482"/>
    </row>
    <row r="9" spans="1:9" x14ac:dyDescent="0.25">
      <c r="A9" s="482"/>
      <c r="B9" s="482"/>
      <c r="C9" s="482"/>
      <c r="D9" s="482"/>
      <c r="E9" s="482"/>
      <c r="F9" s="482"/>
      <c r="G9" s="482"/>
      <c r="H9" s="482"/>
      <c r="I9" s="482"/>
    </row>
    <row r="10" spans="1:9" x14ac:dyDescent="0.25">
      <c r="A10" s="482"/>
      <c r="B10" s="482"/>
      <c r="C10" s="482"/>
      <c r="D10" s="482"/>
      <c r="E10" s="482"/>
      <c r="F10" s="482"/>
      <c r="G10" s="482"/>
      <c r="H10" s="482"/>
      <c r="I10" s="482"/>
    </row>
    <row r="11" spans="1:9" x14ac:dyDescent="0.25">
      <c r="A11" s="482"/>
      <c r="B11" s="482"/>
      <c r="C11" s="482"/>
      <c r="D11" s="482"/>
      <c r="E11" s="482"/>
      <c r="F11" s="482"/>
      <c r="G11" s="482"/>
      <c r="H11" s="482"/>
      <c r="I11" s="482"/>
    </row>
    <row r="12" spans="1:9" x14ac:dyDescent="0.25">
      <c r="A12" s="482"/>
      <c r="B12" s="482"/>
      <c r="C12" s="482"/>
      <c r="D12" s="482"/>
      <c r="E12" s="482"/>
      <c r="F12" s="482"/>
      <c r="G12" s="482"/>
      <c r="H12" s="482"/>
      <c r="I12" s="482"/>
    </row>
    <row r="13" spans="1:9" x14ac:dyDescent="0.25">
      <c r="A13" s="482"/>
      <c r="B13" s="482"/>
      <c r="C13" s="482"/>
      <c r="D13" s="482"/>
      <c r="E13" s="482"/>
      <c r="F13" s="482"/>
      <c r="G13" s="482"/>
      <c r="H13" s="482"/>
      <c r="I13" s="482"/>
    </row>
    <row r="14" spans="1:9" x14ac:dyDescent="0.25">
      <c r="A14" s="482"/>
      <c r="B14" s="482"/>
      <c r="C14" s="482"/>
      <c r="D14" s="482"/>
      <c r="E14" s="482"/>
      <c r="F14" s="482"/>
      <c r="G14" s="482"/>
      <c r="H14" s="482"/>
      <c r="I14" s="482"/>
    </row>
    <row r="15" spans="1:9" ht="19.5" customHeight="1" x14ac:dyDescent="0.3">
      <c r="A15" s="284"/>
    </row>
    <row r="16" spans="1:9" ht="19.5" customHeight="1" x14ac:dyDescent="0.3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286" t="s">
        <v>33</v>
      </c>
      <c r="B18" s="513" t="s">
        <v>5</v>
      </c>
      <c r="C18" s="513"/>
      <c r="D18" s="432"/>
      <c r="E18" s="287"/>
      <c r="F18" s="288"/>
      <c r="G18" s="288"/>
      <c r="H18" s="288"/>
    </row>
    <row r="19" spans="1:14" ht="26.25" customHeight="1" x14ac:dyDescent="0.4">
      <c r="A19" s="286" t="s">
        <v>34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 x14ac:dyDescent="0.4">
      <c r="A20" s="286" t="s">
        <v>35</v>
      </c>
      <c r="B20" s="518" t="s">
        <v>133</v>
      </c>
      <c r="C20" s="518"/>
      <c r="D20" s="288"/>
      <c r="E20" s="288"/>
      <c r="F20" s="288"/>
      <c r="G20" s="288"/>
      <c r="H20" s="288"/>
    </row>
    <row r="21" spans="1:14" ht="26.25" customHeight="1" x14ac:dyDescent="0.4">
      <c r="A21" s="286" t="s">
        <v>36</v>
      </c>
      <c r="B21" s="518" t="s">
        <v>11</v>
      </c>
      <c r="C21" s="518"/>
      <c r="D21" s="518"/>
      <c r="E21" s="518"/>
      <c r="F21" s="518"/>
      <c r="G21" s="518"/>
      <c r="H21" s="518"/>
      <c r="I21" s="290"/>
    </row>
    <row r="22" spans="1:14" ht="26.25" customHeight="1" x14ac:dyDescent="0.4">
      <c r="A22" s="286" t="s">
        <v>37</v>
      </c>
      <c r="B22" s="291">
        <v>42653</v>
      </c>
      <c r="C22" s="288"/>
      <c r="D22" s="288"/>
      <c r="E22" s="288"/>
      <c r="F22" s="288"/>
      <c r="G22" s="288"/>
      <c r="H22" s="288"/>
    </row>
    <row r="23" spans="1:14" ht="26.25" customHeight="1" x14ac:dyDescent="0.4">
      <c r="A23" s="286" t="s">
        <v>38</v>
      </c>
      <c r="B23" s="291">
        <v>42657</v>
      </c>
      <c r="C23" s="288"/>
      <c r="D23" s="288"/>
      <c r="E23" s="288"/>
      <c r="F23" s="288"/>
      <c r="G23" s="288"/>
      <c r="H23" s="288"/>
    </row>
    <row r="24" spans="1:14" ht="18.75" x14ac:dyDescent="0.3">
      <c r="A24" s="286"/>
      <c r="B24" s="292"/>
    </row>
    <row r="25" spans="1:14" ht="18.75" x14ac:dyDescent="0.3">
      <c r="A25" s="293" t="s">
        <v>1</v>
      </c>
      <c r="B25" s="292"/>
    </row>
    <row r="26" spans="1:14" ht="26.25" customHeight="1" x14ac:dyDescent="0.4">
      <c r="A26" s="294" t="s">
        <v>4</v>
      </c>
      <c r="B26" s="513" t="s">
        <v>131</v>
      </c>
      <c r="C26" s="513"/>
    </row>
    <row r="27" spans="1:14" ht="26.25" customHeight="1" x14ac:dyDescent="0.4">
      <c r="A27" s="295" t="s">
        <v>48</v>
      </c>
      <c r="B27" s="519" t="s">
        <v>132</v>
      </c>
      <c r="C27" s="519"/>
    </row>
    <row r="28" spans="1:14" ht="27" customHeight="1" x14ac:dyDescent="0.4">
      <c r="A28" s="295" t="s">
        <v>6</v>
      </c>
      <c r="B28" s="296">
        <v>99.3</v>
      </c>
    </row>
    <row r="29" spans="1:14" s="14" customFormat="1" ht="27" customHeight="1" x14ac:dyDescent="0.4">
      <c r="A29" s="295" t="s">
        <v>49</v>
      </c>
      <c r="B29" s="297">
        <v>0</v>
      </c>
      <c r="C29" s="489" t="s">
        <v>50</v>
      </c>
      <c r="D29" s="490"/>
      <c r="E29" s="490"/>
      <c r="F29" s="490"/>
      <c r="G29" s="491"/>
      <c r="I29" s="298"/>
      <c r="J29" s="298"/>
      <c r="K29" s="298"/>
      <c r="L29" s="298"/>
    </row>
    <row r="30" spans="1:14" s="14" customFormat="1" ht="19.5" customHeight="1" x14ac:dyDescent="0.3">
      <c r="A30" s="295" t="s">
        <v>51</v>
      </c>
      <c r="B30" s="299">
        <f>B28-B29</f>
        <v>99.3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4" customFormat="1" ht="27" customHeight="1" x14ac:dyDescent="0.4">
      <c r="A31" s="295" t="s">
        <v>52</v>
      </c>
      <c r="B31" s="302">
        <v>1</v>
      </c>
      <c r="C31" s="492" t="s">
        <v>53</v>
      </c>
      <c r="D31" s="493"/>
      <c r="E31" s="493"/>
      <c r="F31" s="493"/>
      <c r="G31" s="493"/>
      <c r="H31" s="494"/>
      <c r="I31" s="298"/>
      <c r="J31" s="298"/>
      <c r="K31" s="298"/>
      <c r="L31" s="298"/>
    </row>
    <row r="32" spans="1:14" s="14" customFormat="1" ht="27" customHeight="1" x14ac:dyDescent="0.4">
      <c r="A32" s="295" t="s">
        <v>54</v>
      </c>
      <c r="B32" s="302">
        <v>1</v>
      </c>
      <c r="C32" s="492" t="s">
        <v>55</v>
      </c>
      <c r="D32" s="493"/>
      <c r="E32" s="493"/>
      <c r="F32" s="493"/>
      <c r="G32" s="493"/>
      <c r="H32" s="494"/>
      <c r="I32" s="298"/>
      <c r="J32" s="298"/>
      <c r="K32" s="298"/>
      <c r="L32" s="303"/>
      <c r="M32" s="303"/>
      <c r="N32" s="304"/>
    </row>
    <row r="33" spans="1:14" s="14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4" customFormat="1" ht="18.75" x14ac:dyDescent="0.3">
      <c r="A34" s="295" t="s">
        <v>56</v>
      </c>
      <c r="B34" s="307">
        <f>B31/B32</f>
        <v>1</v>
      </c>
      <c r="C34" s="285" t="s">
        <v>57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4" customFormat="1" ht="19.5" customHeight="1" x14ac:dyDescent="0.3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4" customFormat="1" ht="27" customHeight="1" x14ac:dyDescent="0.4">
      <c r="A36" s="308" t="s">
        <v>58</v>
      </c>
      <c r="B36" s="309">
        <v>25</v>
      </c>
      <c r="C36" s="285"/>
      <c r="D36" s="495" t="s">
        <v>59</v>
      </c>
      <c r="E36" s="520"/>
      <c r="F36" s="495" t="s">
        <v>60</v>
      </c>
      <c r="G36" s="496"/>
      <c r="J36" s="298"/>
      <c r="K36" s="298"/>
      <c r="L36" s="303"/>
      <c r="M36" s="303"/>
      <c r="N36" s="304"/>
    </row>
    <row r="37" spans="1:14" s="14" customFormat="1" ht="27" customHeight="1" x14ac:dyDescent="0.4">
      <c r="A37" s="310" t="s">
        <v>61</v>
      </c>
      <c r="B37" s="311">
        <v>4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65</v>
      </c>
      <c r="J37" s="298"/>
      <c r="K37" s="298"/>
      <c r="L37" s="303"/>
      <c r="M37" s="303"/>
      <c r="N37" s="304"/>
    </row>
    <row r="38" spans="1:14" s="14" customFormat="1" ht="26.25" customHeight="1" x14ac:dyDescent="0.4">
      <c r="A38" s="310" t="s">
        <v>66</v>
      </c>
      <c r="B38" s="311">
        <v>100</v>
      </c>
      <c r="C38" s="317">
        <v>1</v>
      </c>
      <c r="D38" s="318">
        <v>4686239</v>
      </c>
      <c r="E38" s="319">
        <f>IF(ISBLANK(D38),"-",$D$48/$D$45*D38)</f>
        <v>4622207.5586894741</v>
      </c>
      <c r="F38" s="318">
        <v>4120590</v>
      </c>
      <c r="G38" s="320">
        <f>IF(ISBLANK(F38),"-",$D$48/$F$45*F38)</f>
        <v>4498251.9915833604</v>
      </c>
      <c r="I38" s="321"/>
      <c r="J38" s="298"/>
      <c r="K38" s="298"/>
      <c r="L38" s="303"/>
      <c r="M38" s="303"/>
      <c r="N38" s="304"/>
    </row>
    <row r="39" spans="1:14" s="14" customFormat="1" ht="26.25" customHeight="1" x14ac:dyDescent="0.4">
      <c r="A39" s="310" t="s">
        <v>67</v>
      </c>
      <c r="B39" s="311">
        <v>1</v>
      </c>
      <c r="C39" s="322">
        <v>2</v>
      </c>
      <c r="D39" s="323">
        <v>4563417</v>
      </c>
      <c r="E39" s="324">
        <f>IF(ISBLANK(D39),"-",$D$48/$D$45*D39)</f>
        <v>4501063.7636817172</v>
      </c>
      <c r="F39" s="323">
        <v>4110690</v>
      </c>
      <c r="G39" s="325">
        <f>IF(ISBLANK(F39),"-",$D$48/$F$45*F39)</f>
        <v>4487444.6327544851</v>
      </c>
      <c r="I39" s="497">
        <f>ABS((F43/D43*D42)-F42)/D42</f>
        <v>1.0252510036110394E-2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68</v>
      </c>
      <c r="B40" s="311">
        <v>1</v>
      </c>
      <c r="C40" s="322">
        <v>3</v>
      </c>
      <c r="D40" s="323">
        <v>4567149</v>
      </c>
      <c r="E40" s="324">
        <f>IF(ISBLANK(D40),"-",$D$48/$D$45*D40)</f>
        <v>4504744.770691609</v>
      </c>
      <c r="F40" s="323">
        <v>4110905</v>
      </c>
      <c r="G40" s="325">
        <f>IF(ISBLANK(F40),"-",$D$48/$F$45*F40)</f>
        <v>4487679.3380219815</v>
      </c>
      <c r="I40" s="497"/>
      <c r="L40" s="303"/>
      <c r="M40" s="303"/>
      <c r="N40" s="326"/>
    </row>
    <row r="41" spans="1:14" ht="27" customHeight="1" x14ac:dyDescent="0.4">
      <c r="A41" s="310" t="s">
        <v>69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 x14ac:dyDescent="0.4">
      <c r="A42" s="310" t="s">
        <v>70</v>
      </c>
      <c r="B42" s="311">
        <v>1</v>
      </c>
      <c r="C42" s="332" t="s">
        <v>71</v>
      </c>
      <c r="D42" s="333">
        <f>AVERAGE(D38:D41)</f>
        <v>4605601.666666667</v>
      </c>
      <c r="E42" s="334">
        <f>AVERAGE(E38:E41)</f>
        <v>4542672.0310209338</v>
      </c>
      <c r="F42" s="333">
        <f>AVERAGE(F38:F41)</f>
        <v>4114061.6666666665</v>
      </c>
      <c r="G42" s="335">
        <f>AVERAGE(G38:G41)</f>
        <v>4491125.3207866093</v>
      </c>
      <c r="H42" s="336"/>
    </row>
    <row r="43" spans="1:14" ht="26.25" customHeight="1" x14ac:dyDescent="0.4">
      <c r="A43" s="310" t="s">
        <v>72</v>
      </c>
      <c r="B43" s="311">
        <v>1</v>
      </c>
      <c r="C43" s="337" t="s">
        <v>73</v>
      </c>
      <c r="D43" s="338">
        <v>20.420000000000002</v>
      </c>
      <c r="E43" s="326"/>
      <c r="F43" s="338">
        <v>18.45</v>
      </c>
      <c r="H43" s="336"/>
    </row>
    <row r="44" spans="1:14" ht="26.25" customHeight="1" x14ac:dyDescent="0.4">
      <c r="A44" s="310" t="s">
        <v>74</v>
      </c>
      <c r="B44" s="311">
        <v>1</v>
      </c>
      <c r="C44" s="339" t="s">
        <v>75</v>
      </c>
      <c r="D44" s="340">
        <f>D43*$B$34</f>
        <v>20.420000000000002</v>
      </c>
      <c r="E44" s="341"/>
      <c r="F44" s="340">
        <f>F43*$B$34</f>
        <v>18.45</v>
      </c>
      <c r="H44" s="336"/>
    </row>
    <row r="45" spans="1:14" ht="19.5" customHeight="1" x14ac:dyDescent="0.3">
      <c r="A45" s="310" t="s">
        <v>76</v>
      </c>
      <c r="B45" s="342">
        <f>(B44/B43)*(B42/B41)*(B40/B39)*(B38/B37)*B36</f>
        <v>625</v>
      </c>
      <c r="C45" s="339" t="s">
        <v>77</v>
      </c>
      <c r="D45" s="343">
        <f>D44*$B$30/100</f>
        <v>20.277060000000002</v>
      </c>
      <c r="E45" s="344"/>
      <c r="F45" s="343">
        <f>F44*$B$30/100</f>
        <v>18.320849999999997</v>
      </c>
      <c r="H45" s="336"/>
    </row>
    <row r="46" spans="1:14" ht="19.5" customHeight="1" x14ac:dyDescent="0.3">
      <c r="A46" s="483" t="s">
        <v>78</v>
      </c>
      <c r="B46" s="484"/>
      <c r="C46" s="339" t="s">
        <v>79</v>
      </c>
      <c r="D46" s="345">
        <f>D45/$B$45</f>
        <v>3.2443296000000003E-2</v>
      </c>
      <c r="E46" s="346"/>
      <c r="F46" s="347">
        <f>F45/$B$45</f>
        <v>2.9313359999999993E-2</v>
      </c>
      <c r="H46" s="336"/>
    </row>
    <row r="47" spans="1:14" ht="27" customHeight="1" x14ac:dyDescent="0.4">
      <c r="A47" s="485"/>
      <c r="B47" s="486"/>
      <c r="C47" s="348" t="s">
        <v>80</v>
      </c>
      <c r="D47" s="349">
        <v>3.2000000000000001E-2</v>
      </c>
      <c r="E47" s="350"/>
      <c r="F47" s="346"/>
      <c r="H47" s="336"/>
    </row>
    <row r="48" spans="1:14" ht="18.75" x14ac:dyDescent="0.3">
      <c r="C48" s="351" t="s">
        <v>81</v>
      </c>
      <c r="D48" s="343">
        <f>D47*$B$45</f>
        <v>20</v>
      </c>
      <c r="F48" s="352"/>
      <c r="H48" s="336"/>
    </row>
    <row r="49" spans="1:12" ht="19.5" customHeight="1" x14ac:dyDescent="0.3">
      <c r="C49" s="353" t="s">
        <v>82</v>
      </c>
      <c r="D49" s="354">
        <f>D48/B34</f>
        <v>20</v>
      </c>
      <c r="F49" s="352"/>
      <c r="H49" s="336"/>
    </row>
    <row r="50" spans="1:12" ht="18.75" x14ac:dyDescent="0.3">
      <c r="C50" s="308" t="s">
        <v>83</v>
      </c>
      <c r="D50" s="355">
        <f>AVERAGE(E38:E41,G38:G41)</f>
        <v>4516898.675903772</v>
      </c>
      <c r="F50" s="356"/>
      <c r="H50" s="336"/>
    </row>
    <row r="51" spans="1:12" ht="18.75" x14ac:dyDescent="0.3">
      <c r="C51" s="310" t="s">
        <v>84</v>
      </c>
      <c r="D51" s="357">
        <f>STDEV(E38:E41,G38:G41)/D50</f>
        <v>1.1528249427120165E-2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85</v>
      </c>
    </row>
    <row r="55" spans="1:12" ht="18.75" x14ac:dyDescent="0.3">
      <c r="A55" s="285" t="s">
        <v>86</v>
      </c>
      <c r="B55" s="362" t="str">
        <f>B21</f>
        <v>Each tablet contains: Sulfamethoxazole 400 mg and Trimethoprim 80 mg</v>
      </c>
    </row>
    <row r="56" spans="1:12" ht="26.25" customHeight="1" x14ac:dyDescent="0.4">
      <c r="A56" s="363" t="s">
        <v>87</v>
      </c>
      <c r="B56" s="364">
        <v>80</v>
      </c>
      <c r="C56" s="285" t="str">
        <f>B20</f>
        <v xml:space="preserve">Trimethoprim </v>
      </c>
      <c r="H56" s="365"/>
    </row>
    <row r="57" spans="1:12" ht="18.75" x14ac:dyDescent="0.3">
      <c r="A57" s="362" t="s">
        <v>88</v>
      </c>
      <c r="B57" s="433">
        <f>Uniformity!C46</f>
        <v>533.23000000000013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8" t="s">
        <v>89</v>
      </c>
      <c r="B59" s="309">
        <v>100</v>
      </c>
      <c r="C59" s="285"/>
      <c r="D59" s="366" t="s">
        <v>90</v>
      </c>
      <c r="E59" s="367" t="s">
        <v>62</v>
      </c>
      <c r="F59" s="367" t="s">
        <v>63</v>
      </c>
      <c r="G59" s="367" t="s">
        <v>91</v>
      </c>
      <c r="H59" s="312" t="s">
        <v>92</v>
      </c>
      <c r="L59" s="298"/>
    </row>
    <row r="60" spans="1:12" s="14" customFormat="1" ht="26.25" customHeight="1" x14ac:dyDescent="0.4">
      <c r="A60" s="310" t="s">
        <v>93</v>
      </c>
      <c r="B60" s="311">
        <v>5</v>
      </c>
      <c r="C60" s="500" t="s">
        <v>94</v>
      </c>
      <c r="D60" s="503">
        <v>210.53</v>
      </c>
      <c r="E60" s="368">
        <v>1</v>
      </c>
      <c r="F60" s="369"/>
      <c r="G60" s="434" t="str">
        <f>IF(ISBLANK(F60),"-",(F60/$D$50*$D$47*$B$68)*($B$57/$D$60))</f>
        <v>-</v>
      </c>
      <c r="H60" s="452" t="str">
        <f t="shared" ref="H60:H71" si="0">IF(ISBLANK(F60),"-",(G60/$B$56)*100)</f>
        <v>-</v>
      </c>
      <c r="L60" s="298"/>
    </row>
    <row r="61" spans="1:12" s="14" customFormat="1" ht="26.25" customHeight="1" x14ac:dyDescent="0.4">
      <c r="A61" s="310" t="s">
        <v>95</v>
      </c>
      <c r="B61" s="311">
        <v>50</v>
      </c>
      <c r="C61" s="501"/>
      <c r="D61" s="504"/>
      <c r="E61" s="370">
        <v>2</v>
      </c>
      <c r="F61" s="323"/>
      <c r="G61" s="435" t="str">
        <f>IF(ISBLANK(F61),"-",(F61/$D$50*$D$47*$B$68)*($B$57/$D$60))</f>
        <v>-</v>
      </c>
      <c r="H61" s="453" t="str">
        <f t="shared" si="0"/>
        <v>-</v>
      </c>
      <c r="L61" s="298"/>
    </row>
    <row r="62" spans="1:12" s="14" customFormat="1" ht="26.25" customHeight="1" x14ac:dyDescent="0.4">
      <c r="A62" s="310" t="s">
        <v>96</v>
      </c>
      <c r="B62" s="311">
        <v>1</v>
      </c>
      <c r="C62" s="501"/>
      <c r="D62" s="504"/>
      <c r="E62" s="370">
        <v>3</v>
      </c>
      <c r="F62" s="371"/>
      <c r="G62" s="435" t="str">
        <f>IF(ISBLANK(F62),"-",(F62/$D$50*$D$47*$B$68)*($B$57/$D$60))</f>
        <v>-</v>
      </c>
      <c r="H62" s="453" t="str">
        <f t="shared" si="0"/>
        <v>-</v>
      </c>
      <c r="L62" s="298"/>
    </row>
    <row r="63" spans="1:12" ht="27" customHeight="1" x14ac:dyDescent="0.4">
      <c r="A63" s="310" t="s">
        <v>97</v>
      </c>
      <c r="B63" s="311">
        <v>1</v>
      </c>
      <c r="C63" s="510"/>
      <c r="D63" s="505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0" t="s">
        <v>98</v>
      </c>
      <c r="B64" s="311">
        <v>1</v>
      </c>
      <c r="C64" s="500" t="s">
        <v>99</v>
      </c>
      <c r="D64" s="503">
        <v>213.22</v>
      </c>
      <c r="E64" s="368">
        <v>1</v>
      </c>
      <c r="F64" s="369">
        <v>4321851</v>
      </c>
      <c r="G64" s="434">
        <f>IF(ISBLANK(F64),"-",(F64/$D$50*$D$47*$B$68)*($B$57/$D$64))</f>
        <v>76.571306291766192</v>
      </c>
      <c r="H64" s="452">
        <f t="shared" si="0"/>
        <v>95.714132864707736</v>
      </c>
    </row>
    <row r="65" spans="1:8" ht="26.25" customHeight="1" x14ac:dyDescent="0.4">
      <c r="A65" s="310" t="s">
        <v>100</v>
      </c>
      <c r="B65" s="311">
        <v>1</v>
      </c>
      <c r="C65" s="501"/>
      <c r="D65" s="504"/>
      <c r="E65" s="370">
        <v>2</v>
      </c>
      <c r="F65" s="323">
        <v>4312951</v>
      </c>
      <c r="G65" s="435">
        <f>IF(ISBLANK(F65),"-",(F65/$D$50*$D$47*$B$68)*($B$57/$D$64))</f>
        <v>76.413622783936646</v>
      </c>
      <c r="H65" s="453">
        <f t="shared" si="0"/>
        <v>95.51702847992081</v>
      </c>
    </row>
    <row r="66" spans="1:8" ht="26.25" customHeight="1" x14ac:dyDescent="0.4">
      <c r="A66" s="310" t="s">
        <v>101</v>
      </c>
      <c r="B66" s="311">
        <v>1</v>
      </c>
      <c r="C66" s="501"/>
      <c r="D66" s="504"/>
      <c r="E66" s="370">
        <v>3</v>
      </c>
      <c r="F66" s="323">
        <v>4324180</v>
      </c>
      <c r="G66" s="435">
        <f>IF(ISBLANK(F66),"-",(F66/$D$50*$D$47*$B$68)*($B$57/$D$64))</f>
        <v>76.612569762522938</v>
      </c>
      <c r="H66" s="453">
        <f t="shared" si="0"/>
        <v>95.765712203153669</v>
      </c>
    </row>
    <row r="67" spans="1:8" ht="27" customHeight="1" x14ac:dyDescent="0.4">
      <c r="A67" s="310" t="s">
        <v>102</v>
      </c>
      <c r="B67" s="311">
        <v>1</v>
      </c>
      <c r="C67" s="510"/>
      <c r="D67" s="505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0" t="s">
        <v>103</v>
      </c>
      <c r="B68" s="374">
        <f>(B67/B66)*(B65/B64)*(B63/B62)*(B61/B60)*B59</f>
        <v>1000</v>
      </c>
      <c r="C68" s="500" t="s">
        <v>104</v>
      </c>
      <c r="D68" s="503">
        <v>215.17</v>
      </c>
      <c r="E68" s="368">
        <v>1</v>
      </c>
      <c r="F68" s="369">
        <v>4310614</v>
      </c>
      <c r="G68" s="434">
        <f>IF(ISBLANK(F68),"-",(F68/$D$50*$D$47*$B$68)*($B$57/$D$68))</f>
        <v>75.680086589130198</v>
      </c>
      <c r="H68" s="453">
        <f t="shared" si="0"/>
        <v>94.600108236412751</v>
      </c>
    </row>
    <row r="69" spans="1:8" ht="27" customHeight="1" x14ac:dyDescent="0.4">
      <c r="A69" s="358" t="s">
        <v>105</v>
      </c>
      <c r="B69" s="375">
        <f>(D47*B68)/B56*B57</f>
        <v>213.29200000000006</v>
      </c>
      <c r="C69" s="501"/>
      <c r="D69" s="504"/>
      <c r="E69" s="370">
        <v>2</v>
      </c>
      <c r="F69" s="323">
        <v>4308595</v>
      </c>
      <c r="G69" s="435">
        <f>IF(ISBLANK(F69),"-",(F69/$D$50*$D$47*$B$68)*($B$57/$D$68))</f>
        <v>75.644639644721948</v>
      </c>
      <c r="H69" s="453">
        <f t="shared" si="0"/>
        <v>94.555799555902425</v>
      </c>
    </row>
    <row r="70" spans="1:8" ht="26.25" customHeight="1" x14ac:dyDescent="0.4">
      <c r="A70" s="506" t="s">
        <v>78</v>
      </c>
      <c r="B70" s="507"/>
      <c r="C70" s="501"/>
      <c r="D70" s="504"/>
      <c r="E70" s="370">
        <v>3</v>
      </c>
      <c r="F70" s="323">
        <v>4301737</v>
      </c>
      <c r="G70" s="435">
        <f>IF(ISBLANK(F70),"-",(F70/$D$50*$D$47*$B$68)*($B$57/$D$68))</f>
        <v>75.524235907846361</v>
      </c>
      <c r="H70" s="453">
        <f t="shared" si="0"/>
        <v>94.405294884807958</v>
      </c>
    </row>
    <row r="71" spans="1:8" ht="27" customHeight="1" x14ac:dyDescent="0.4">
      <c r="A71" s="508"/>
      <c r="B71" s="509"/>
      <c r="C71" s="502"/>
      <c r="D71" s="505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40">
        <f>AVERAGE(G60:G71)</f>
        <v>76.074410163320707</v>
      </c>
      <c r="H72" s="455">
        <f>AVERAGE(H60:H71)</f>
        <v>95.093012704150894</v>
      </c>
    </row>
    <row r="73" spans="1:8" ht="26.25" customHeight="1" x14ac:dyDescent="0.4">
      <c r="C73" s="376"/>
      <c r="D73" s="376"/>
      <c r="E73" s="376"/>
      <c r="F73" s="379" t="s">
        <v>84</v>
      </c>
      <c r="G73" s="439">
        <f>STDEV(G60:G71)/G72</f>
        <v>6.6884081854560349E-3</v>
      </c>
      <c r="H73" s="439">
        <f>STDEV(H60:H71)/H72</f>
        <v>6.6884081854560219E-3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6</v>
      </c>
      <c r="H74" s="382">
        <f>COUNT(H60:H71)</f>
        <v>6</v>
      </c>
    </row>
    <row r="76" spans="1:8" ht="26.25" customHeight="1" x14ac:dyDescent="0.4">
      <c r="A76" s="294" t="s">
        <v>106</v>
      </c>
      <c r="B76" s="383" t="s">
        <v>107</v>
      </c>
      <c r="C76" s="487" t="str">
        <f>B26</f>
        <v>Trimethoprim</v>
      </c>
      <c r="D76" s="487"/>
      <c r="E76" s="384" t="s">
        <v>108</v>
      </c>
      <c r="F76" s="384"/>
      <c r="G76" s="385">
        <f>H72</f>
        <v>95.093012704150894</v>
      </c>
      <c r="H76" s="386"/>
    </row>
    <row r="77" spans="1:8" ht="18.75" x14ac:dyDescent="0.3">
      <c r="A77" s="293" t="s">
        <v>109</v>
      </c>
      <c r="B77" s="293" t="s">
        <v>110</v>
      </c>
    </row>
    <row r="78" spans="1:8" ht="18.75" x14ac:dyDescent="0.3">
      <c r="A78" s="293"/>
      <c r="B78" s="293"/>
    </row>
    <row r="79" spans="1:8" ht="26.25" customHeight="1" x14ac:dyDescent="0.4">
      <c r="A79" s="294" t="s">
        <v>4</v>
      </c>
      <c r="B79" s="521" t="str">
        <f>B26</f>
        <v>Trimethoprim</v>
      </c>
      <c r="C79" s="521"/>
    </row>
    <row r="80" spans="1:8" ht="26.25" customHeight="1" x14ac:dyDescent="0.4">
      <c r="A80" s="295" t="s">
        <v>48</v>
      </c>
      <c r="B80" s="521" t="str">
        <f>B27</f>
        <v>T7-4</v>
      </c>
      <c r="C80" s="521"/>
    </row>
    <row r="81" spans="1:12" ht="27" customHeight="1" x14ac:dyDescent="0.4">
      <c r="A81" s="295" t="s">
        <v>6</v>
      </c>
      <c r="B81" s="387">
        <f>B28</f>
        <v>99.3</v>
      </c>
    </row>
    <row r="82" spans="1:12" s="14" customFormat="1" ht="27" customHeight="1" x14ac:dyDescent="0.4">
      <c r="A82" s="295" t="s">
        <v>49</v>
      </c>
      <c r="B82" s="297">
        <v>0</v>
      </c>
      <c r="C82" s="489" t="s">
        <v>50</v>
      </c>
      <c r="D82" s="490"/>
      <c r="E82" s="490"/>
      <c r="F82" s="490"/>
      <c r="G82" s="491"/>
      <c r="I82" s="298"/>
      <c r="J82" s="298"/>
      <c r="K82" s="298"/>
      <c r="L82" s="298"/>
    </row>
    <row r="83" spans="1:12" s="14" customFormat="1" ht="19.5" customHeight="1" x14ac:dyDescent="0.3">
      <c r="A83" s="295" t="s">
        <v>51</v>
      </c>
      <c r="B83" s="299">
        <f>B81-B82</f>
        <v>99.3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4" customFormat="1" ht="27" customHeight="1" x14ac:dyDescent="0.4">
      <c r="A84" s="295" t="s">
        <v>52</v>
      </c>
      <c r="B84" s="302">
        <v>1</v>
      </c>
      <c r="C84" s="492" t="s">
        <v>111</v>
      </c>
      <c r="D84" s="493"/>
      <c r="E84" s="493"/>
      <c r="F84" s="493"/>
      <c r="G84" s="493"/>
      <c r="H84" s="494"/>
      <c r="I84" s="298"/>
      <c r="J84" s="298"/>
      <c r="K84" s="298"/>
      <c r="L84" s="298"/>
    </row>
    <row r="85" spans="1:12" s="14" customFormat="1" ht="27" customHeight="1" x14ac:dyDescent="0.4">
      <c r="A85" s="295" t="s">
        <v>54</v>
      </c>
      <c r="B85" s="302">
        <v>1</v>
      </c>
      <c r="C85" s="492" t="s">
        <v>112</v>
      </c>
      <c r="D85" s="493"/>
      <c r="E85" s="493"/>
      <c r="F85" s="493"/>
      <c r="G85" s="493"/>
      <c r="H85" s="494"/>
      <c r="I85" s="298"/>
      <c r="J85" s="298"/>
      <c r="K85" s="298"/>
      <c r="L85" s="298"/>
    </row>
    <row r="86" spans="1:12" s="14" customFormat="1" ht="18.75" x14ac:dyDescent="0.3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4" customFormat="1" ht="18.75" x14ac:dyDescent="0.3">
      <c r="A87" s="295" t="s">
        <v>56</v>
      </c>
      <c r="B87" s="307">
        <f>B84/B85</f>
        <v>1</v>
      </c>
      <c r="C87" s="285" t="s">
        <v>57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 x14ac:dyDescent="0.3">
      <c r="A88" s="293"/>
      <c r="B88" s="293"/>
    </row>
    <row r="89" spans="1:12" ht="27" customHeight="1" x14ac:dyDescent="0.4">
      <c r="A89" s="308" t="s">
        <v>58</v>
      </c>
      <c r="B89" s="309">
        <v>25</v>
      </c>
      <c r="D89" s="388" t="s">
        <v>59</v>
      </c>
      <c r="E89" s="389"/>
      <c r="F89" s="495" t="s">
        <v>60</v>
      </c>
      <c r="G89" s="496"/>
    </row>
    <row r="90" spans="1:12" ht="27" customHeight="1" x14ac:dyDescent="0.4">
      <c r="A90" s="310" t="s">
        <v>61</v>
      </c>
      <c r="B90" s="311">
        <v>4</v>
      </c>
      <c r="C90" s="390" t="s">
        <v>62</v>
      </c>
      <c r="D90" s="313" t="s">
        <v>63</v>
      </c>
      <c r="E90" s="314" t="s">
        <v>64</v>
      </c>
      <c r="F90" s="313" t="s">
        <v>63</v>
      </c>
      <c r="G90" s="391" t="s">
        <v>64</v>
      </c>
      <c r="I90" s="316" t="s">
        <v>65</v>
      </c>
    </row>
    <row r="91" spans="1:12" ht="26.25" customHeight="1" x14ac:dyDescent="0.4">
      <c r="A91" s="310" t="s">
        <v>66</v>
      </c>
      <c r="B91" s="311">
        <v>100</v>
      </c>
      <c r="C91" s="392">
        <v>1</v>
      </c>
      <c r="D91" s="318">
        <v>4686239</v>
      </c>
      <c r="E91" s="319">
        <f>IF(ISBLANK(D91),"-",$D$101/$D$98*D91)</f>
        <v>5135786.1763216378</v>
      </c>
      <c r="F91" s="318">
        <v>4120590</v>
      </c>
      <c r="G91" s="320">
        <f>IF(ISBLANK(F91),"-",$D$101/$F$98*F91)</f>
        <v>4998057.7684259564</v>
      </c>
      <c r="I91" s="321"/>
    </row>
    <row r="92" spans="1:12" ht="26.25" customHeight="1" x14ac:dyDescent="0.4">
      <c r="A92" s="310" t="s">
        <v>67</v>
      </c>
      <c r="B92" s="311">
        <v>1</v>
      </c>
      <c r="C92" s="377">
        <v>2</v>
      </c>
      <c r="D92" s="323">
        <v>4563417</v>
      </c>
      <c r="E92" s="324">
        <f>IF(ISBLANK(D92),"-",$D$101/$D$98*D92)</f>
        <v>5001181.9596463516</v>
      </c>
      <c r="F92" s="323">
        <v>4110690</v>
      </c>
      <c r="G92" s="325">
        <f>IF(ISBLANK(F92),"-",$D$101/$F$98*F92)</f>
        <v>4986049.5919494284</v>
      </c>
      <c r="I92" s="497">
        <f>ABS((F96/D96*D95)-F95)/D95</f>
        <v>1.0252510036110394E-2</v>
      </c>
    </row>
    <row r="93" spans="1:12" ht="26.25" customHeight="1" x14ac:dyDescent="0.4">
      <c r="A93" s="310" t="s">
        <v>68</v>
      </c>
      <c r="B93" s="311">
        <v>1</v>
      </c>
      <c r="C93" s="377">
        <v>3</v>
      </c>
      <c r="D93" s="323">
        <v>4567149</v>
      </c>
      <c r="E93" s="324">
        <f>IF(ISBLANK(D93),"-",$D$101/$D$98*D93)</f>
        <v>5005271.9674351206</v>
      </c>
      <c r="F93" s="323">
        <v>4110905</v>
      </c>
      <c r="G93" s="325">
        <f>IF(ISBLANK(F93),"-",$D$101/$F$98*F93)</f>
        <v>4986310.3755799793</v>
      </c>
      <c r="I93" s="497"/>
    </row>
    <row r="94" spans="1:12" ht="27" customHeight="1" x14ac:dyDescent="0.4">
      <c r="A94" s="310" t="s">
        <v>69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0" t="s">
        <v>70</v>
      </c>
      <c r="B95" s="311">
        <v>1</v>
      </c>
      <c r="C95" s="395" t="s">
        <v>71</v>
      </c>
      <c r="D95" s="396">
        <f>AVERAGE(D91:D94)</f>
        <v>4605601.666666667</v>
      </c>
      <c r="E95" s="334">
        <f>AVERAGE(E91:E94)</f>
        <v>5047413.3678010367</v>
      </c>
      <c r="F95" s="397">
        <f>AVERAGE(F91:F94)</f>
        <v>4114061.6666666665</v>
      </c>
      <c r="G95" s="398">
        <f>AVERAGE(G91:G94)</f>
        <v>4990139.2453184547</v>
      </c>
    </row>
    <row r="96" spans="1:12" ht="26.25" customHeight="1" x14ac:dyDescent="0.4">
      <c r="A96" s="310" t="s">
        <v>72</v>
      </c>
      <c r="B96" s="296">
        <v>1</v>
      </c>
      <c r="C96" s="399" t="s">
        <v>113</v>
      </c>
      <c r="D96" s="400">
        <v>20.420000000000002</v>
      </c>
      <c r="E96" s="326"/>
      <c r="F96" s="338">
        <v>18.45</v>
      </c>
    </row>
    <row r="97" spans="1:10" ht="26.25" customHeight="1" x14ac:dyDescent="0.4">
      <c r="A97" s="310" t="s">
        <v>74</v>
      </c>
      <c r="B97" s="296">
        <v>1</v>
      </c>
      <c r="C97" s="401" t="s">
        <v>114</v>
      </c>
      <c r="D97" s="402">
        <f>D96*$B$87</f>
        <v>20.420000000000002</v>
      </c>
      <c r="E97" s="341"/>
      <c r="F97" s="340">
        <f>F96*$B$87</f>
        <v>18.45</v>
      </c>
    </row>
    <row r="98" spans="1:10" ht="19.5" customHeight="1" x14ac:dyDescent="0.3">
      <c r="A98" s="310" t="s">
        <v>76</v>
      </c>
      <c r="B98" s="403">
        <f>(B97/B96)*(B95/B94)*(B93/B92)*(B91/B90)*B89</f>
        <v>625</v>
      </c>
      <c r="C98" s="401" t="s">
        <v>115</v>
      </c>
      <c r="D98" s="404">
        <f>D97*$B$83/100</f>
        <v>20.277060000000002</v>
      </c>
      <c r="E98" s="344"/>
      <c r="F98" s="343">
        <f>F97*$B$83/100</f>
        <v>18.320849999999997</v>
      </c>
    </row>
    <row r="99" spans="1:10" ht="19.5" customHeight="1" x14ac:dyDescent="0.3">
      <c r="A99" s="483" t="s">
        <v>78</v>
      </c>
      <c r="B99" s="498"/>
      <c r="C99" s="401" t="s">
        <v>116</v>
      </c>
      <c r="D99" s="405">
        <f>D98/$B$98</f>
        <v>3.2443296000000003E-2</v>
      </c>
      <c r="E99" s="344"/>
      <c r="F99" s="347">
        <f>F98/$B$98</f>
        <v>2.9313359999999993E-2</v>
      </c>
      <c r="G99" s="406"/>
      <c r="H99" s="336"/>
    </row>
    <row r="100" spans="1:10" ht="19.5" customHeight="1" x14ac:dyDescent="0.3">
      <c r="A100" s="485"/>
      <c r="B100" s="499"/>
      <c r="C100" s="401" t="s">
        <v>80</v>
      </c>
      <c r="D100" s="407">
        <f>$B$56/$B$116</f>
        <v>3.5555555555555556E-2</v>
      </c>
      <c r="F100" s="352"/>
      <c r="G100" s="408"/>
      <c r="H100" s="336"/>
    </row>
    <row r="101" spans="1:10" ht="18.75" x14ac:dyDescent="0.3">
      <c r="C101" s="401" t="s">
        <v>81</v>
      </c>
      <c r="D101" s="402">
        <f>D100*$B$98</f>
        <v>22.222222222222221</v>
      </c>
      <c r="F101" s="352"/>
      <c r="G101" s="406"/>
      <c r="H101" s="336"/>
    </row>
    <row r="102" spans="1:10" ht="19.5" customHeight="1" x14ac:dyDescent="0.3">
      <c r="C102" s="409" t="s">
        <v>82</v>
      </c>
      <c r="D102" s="410">
        <f>D101/B34</f>
        <v>22.222222222222221</v>
      </c>
      <c r="F102" s="356"/>
      <c r="G102" s="406"/>
      <c r="H102" s="336"/>
      <c r="J102" s="411"/>
    </row>
    <row r="103" spans="1:10" ht="18.75" x14ac:dyDescent="0.3">
      <c r="C103" s="412" t="s">
        <v>117</v>
      </c>
      <c r="D103" s="413">
        <f>AVERAGE(E91:E94,G91:G94)</f>
        <v>5018776.3065597462</v>
      </c>
      <c r="F103" s="356"/>
      <c r="G103" s="414"/>
      <c r="H103" s="336"/>
      <c r="J103" s="415"/>
    </row>
    <row r="104" spans="1:10" ht="18.75" x14ac:dyDescent="0.3">
      <c r="C104" s="379" t="s">
        <v>84</v>
      </c>
      <c r="D104" s="416">
        <f>STDEV(E91:E94,G91:G94)/D103</f>
        <v>1.1528249427120158E-2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8" t="s">
        <v>118</v>
      </c>
      <c r="B107" s="309">
        <v>900</v>
      </c>
      <c r="C107" s="456" t="s">
        <v>119</v>
      </c>
      <c r="D107" s="456" t="s">
        <v>63</v>
      </c>
      <c r="E107" s="456" t="s">
        <v>120</v>
      </c>
      <c r="F107" s="418" t="s">
        <v>121</v>
      </c>
    </row>
    <row r="108" spans="1:10" ht="26.25" customHeight="1" x14ac:dyDescent="0.4">
      <c r="A108" s="310" t="s">
        <v>122</v>
      </c>
      <c r="B108" s="311">
        <v>10</v>
      </c>
      <c r="C108" s="461">
        <v>1</v>
      </c>
      <c r="D108" s="462">
        <v>5106272</v>
      </c>
      <c r="E108" s="436">
        <f t="shared" ref="E108:E113" si="1">IF(ISBLANK(D108),"-",D108/$D$103*$D$100*$B$116)</f>
        <v>81.394693655915987</v>
      </c>
      <c r="F108" s="463">
        <f t="shared" ref="F108:F113" si="2">IF(ISBLANK(D108), "-", (E108/$B$56)*100)</f>
        <v>101.74336706989497</v>
      </c>
    </row>
    <row r="109" spans="1:10" ht="26.25" customHeight="1" x14ac:dyDescent="0.4">
      <c r="A109" s="310" t="s">
        <v>95</v>
      </c>
      <c r="B109" s="311">
        <v>25</v>
      </c>
      <c r="C109" s="457">
        <v>2</v>
      </c>
      <c r="D109" s="459">
        <v>4857702</v>
      </c>
      <c r="E109" s="437">
        <f t="shared" si="1"/>
        <v>77.432452905315344</v>
      </c>
      <c r="F109" s="464">
        <f t="shared" si="2"/>
        <v>96.790566131644184</v>
      </c>
    </row>
    <row r="110" spans="1:10" ht="26.25" customHeight="1" x14ac:dyDescent="0.4">
      <c r="A110" s="310" t="s">
        <v>96</v>
      </c>
      <c r="B110" s="311">
        <v>1</v>
      </c>
      <c r="C110" s="457">
        <v>3</v>
      </c>
      <c r="D110" s="459">
        <v>4901570</v>
      </c>
      <c r="E110" s="437">
        <f t="shared" si="1"/>
        <v>78.131714993448853</v>
      </c>
      <c r="F110" s="464">
        <f t="shared" si="2"/>
        <v>97.664643741811062</v>
      </c>
    </row>
    <row r="111" spans="1:10" ht="26.25" customHeight="1" x14ac:dyDescent="0.4">
      <c r="A111" s="310" t="s">
        <v>97</v>
      </c>
      <c r="B111" s="311">
        <v>1</v>
      </c>
      <c r="C111" s="457">
        <v>4</v>
      </c>
      <c r="D111" s="459">
        <v>5063316</v>
      </c>
      <c r="E111" s="437">
        <f t="shared" si="1"/>
        <v>80.709968976015745</v>
      </c>
      <c r="F111" s="464">
        <f t="shared" si="2"/>
        <v>100.88746122001967</v>
      </c>
    </row>
    <row r="112" spans="1:10" ht="26.25" customHeight="1" x14ac:dyDescent="0.4">
      <c r="A112" s="310" t="s">
        <v>98</v>
      </c>
      <c r="B112" s="311">
        <v>1</v>
      </c>
      <c r="C112" s="457">
        <v>5</v>
      </c>
      <c r="D112" s="459">
        <v>4871767</v>
      </c>
      <c r="E112" s="437">
        <f t="shared" si="1"/>
        <v>77.656650982948179</v>
      </c>
      <c r="F112" s="464">
        <f t="shared" si="2"/>
        <v>97.070813728685224</v>
      </c>
    </row>
    <row r="113" spans="1:10" ht="27" customHeight="1" x14ac:dyDescent="0.4">
      <c r="A113" s="310" t="s">
        <v>100</v>
      </c>
      <c r="B113" s="311">
        <v>1</v>
      </c>
      <c r="C113" s="458">
        <v>6</v>
      </c>
      <c r="D113" s="460">
        <v>4970782</v>
      </c>
      <c r="E113" s="438">
        <f t="shared" si="1"/>
        <v>79.234964005117888</v>
      </c>
      <c r="F113" s="465">
        <f t="shared" si="2"/>
        <v>99.04370500639736</v>
      </c>
    </row>
    <row r="114" spans="1:10" ht="27" customHeight="1" x14ac:dyDescent="0.4">
      <c r="A114" s="310" t="s">
        <v>101</v>
      </c>
      <c r="B114" s="311">
        <v>1</v>
      </c>
      <c r="C114" s="419"/>
      <c r="D114" s="377"/>
      <c r="E114" s="284"/>
      <c r="F114" s="466"/>
    </row>
    <row r="115" spans="1:10" ht="26.25" customHeight="1" x14ac:dyDescent="0.4">
      <c r="A115" s="310" t="s">
        <v>102</v>
      </c>
      <c r="B115" s="311">
        <v>1</v>
      </c>
      <c r="C115" s="419"/>
      <c r="D115" s="443" t="s">
        <v>71</v>
      </c>
      <c r="E115" s="445">
        <f>AVERAGE(E108:E113)</f>
        <v>79.09340758646033</v>
      </c>
      <c r="F115" s="467">
        <f>AVERAGE(F108:F113)</f>
        <v>98.866759483075398</v>
      </c>
    </row>
    <row r="116" spans="1:10" ht="27" customHeight="1" x14ac:dyDescent="0.4">
      <c r="A116" s="310" t="s">
        <v>103</v>
      </c>
      <c r="B116" s="342">
        <f>(B115/B114)*(B113/B112)*(B111/B110)*(B109/B108)*B107</f>
        <v>2250</v>
      </c>
      <c r="C116" s="420"/>
      <c r="D116" s="444" t="s">
        <v>84</v>
      </c>
      <c r="E116" s="442">
        <f>STDEV(E108:E113)/E115</f>
        <v>2.0910866354906875E-2</v>
      </c>
      <c r="F116" s="421">
        <f>STDEV(F108:F113)/F115</f>
        <v>2.091086635490683E-2</v>
      </c>
      <c r="I116" s="284"/>
    </row>
    <row r="117" spans="1:10" ht="27" customHeight="1" x14ac:dyDescent="0.4">
      <c r="A117" s="483" t="s">
        <v>78</v>
      </c>
      <c r="B117" s="484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4"/>
      <c r="J117" s="415"/>
    </row>
    <row r="118" spans="1:10" ht="26.25" customHeight="1" x14ac:dyDescent="0.3">
      <c r="A118" s="485"/>
      <c r="B118" s="486"/>
      <c r="C118" s="284"/>
      <c r="D118" s="446"/>
      <c r="E118" s="511" t="s">
        <v>123</v>
      </c>
      <c r="F118" s="512"/>
      <c r="G118" s="284"/>
      <c r="H118" s="284"/>
      <c r="I118" s="284"/>
    </row>
    <row r="119" spans="1:10" ht="25.5" customHeight="1" x14ac:dyDescent="0.4">
      <c r="A119" s="431"/>
      <c r="B119" s="306"/>
      <c r="C119" s="284"/>
      <c r="D119" s="444" t="s">
        <v>124</v>
      </c>
      <c r="E119" s="449">
        <f>MIN(E108:E113)</f>
        <v>77.432452905315344</v>
      </c>
      <c r="F119" s="468">
        <f>MIN(F108:F113)</f>
        <v>96.790566131644184</v>
      </c>
      <c r="G119" s="284"/>
      <c r="H119" s="284"/>
      <c r="I119" s="284"/>
    </row>
    <row r="120" spans="1:10" ht="24" customHeight="1" x14ac:dyDescent="0.4">
      <c r="A120" s="431"/>
      <c r="B120" s="306"/>
      <c r="C120" s="284"/>
      <c r="D120" s="353" t="s">
        <v>125</v>
      </c>
      <c r="E120" s="450">
        <f>MAX(E108:E113)</f>
        <v>81.394693655915987</v>
      </c>
      <c r="F120" s="469">
        <f>MAX(F108:F113)</f>
        <v>101.74336706989497</v>
      </c>
      <c r="G120" s="284"/>
      <c r="H120" s="284"/>
      <c r="I120" s="284"/>
    </row>
    <row r="121" spans="1:10" ht="27" customHeight="1" x14ac:dyDescent="0.3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 x14ac:dyDescent="0.3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 x14ac:dyDescent="0.3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 x14ac:dyDescent="0.65">
      <c r="A124" s="294" t="s">
        <v>106</v>
      </c>
      <c r="B124" s="383" t="s">
        <v>126</v>
      </c>
      <c r="C124" s="487" t="str">
        <f>B26</f>
        <v>Trimethoprim</v>
      </c>
      <c r="D124" s="487"/>
      <c r="E124" s="384" t="s">
        <v>127</v>
      </c>
      <c r="F124" s="384"/>
      <c r="G124" s="470">
        <f>F115</f>
        <v>98.866759483075398</v>
      </c>
      <c r="H124" s="284"/>
      <c r="I124" s="284"/>
    </row>
    <row r="125" spans="1:10" ht="45.75" customHeight="1" x14ac:dyDescent="0.65">
      <c r="A125" s="294"/>
      <c r="B125" s="383" t="s">
        <v>128</v>
      </c>
      <c r="C125" s="295" t="s">
        <v>129</v>
      </c>
      <c r="D125" s="470">
        <f>MIN(F108:F113)</f>
        <v>96.790566131644184</v>
      </c>
      <c r="E125" s="395" t="s">
        <v>130</v>
      </c>
      <c r="F125" s="470">
        <f>MAX(F108:F113)</f>
        <v>101.74336706989497</v>
      </c>
      <c r="G125" s="385"/>
      <c r="H125" s="284"/>
      <c r="I125" s="284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488" t="s">
        <v>26</v>
      </c>
      <c r="C127" s="488"/>
      <c r="E127" s="390" t="s">
        <v>27</v>
      </c>
      <c r="F127" s="425"/>
      <c r="G127" s="488" t="s">
        <v>28</v>
      </c>
      <c r="H127" s="488"/>
    </row>
    <row r="128" spans="1:10" ht="69.95" customHeight="1" x14ac:dyDescent="0.3">
      <c r="A128" s="426" t="s">
        <v>29</v>
      </c>
      <c r="B128" s="427"/>
      <c r="C128" s="427"/>
      <c r="E128" s="427"/>
      <c r="F128" s="284"/>
      <c r="G128" s="428"/>
      <c r="H128" s="428"/>
    </row>
    <row r="129" spans="1:9" ht="69.95" customHeight="1" x14ac:dyDescent="0.3">
      <c r="A129" s="426" t="s">
        <v>30</v>
      </c>
      <c r="B129" s="429"/>
      <c r="C129" s="429"/>
      <c r="E129" s="429"/>
      <c r="F129" s="284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Uniformity</vt:lpstr>
      <vt:lpstr>Sulfamethoxazole</vt:lpstr>
      <vt:lpstr>Trimethoprim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2016-10-14T09:21:50Z</cp:lastPrinted>
  <dcterms:created xsi:type="dcterms:W3CDTF">2005-07-05T10:19:27Z</dcterms:created>
  <dcterms:modified xsi:type="dcterms:W3CDTF">2016-10-18T09:54:19Z</dcterms:modified>
</cp:coreProperties>
</file>