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paracetamol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92" i="3"/>
  <c r="D101" i="3"/>
  <c r="G92" i="3" s="1"/>
  <c r="D49" i="3"/>
  <c r="F44" i="3"/>
  <c r="F45" i="3" s="1"/>
  <c r="D45" i="3"/>
  <c r="E39" i="3" s="1"/>
  <c r="B69" i="3"/>
  <c r="F98" i="3"/>
  <c r="F99" i="3" s="1"/>
  <c r="D102" i="3"/>
  <c r="C50" i="2"/>
  <c r="D97" i="3"/>
  <c r="D98" i="3" s="1"/>
  <c r="D99" i="3" s="1"/>
  <c r="D26" i="2"/>
  <c r="D30" i="2"/>
  <c r="D34" i="2"/>
  <c r="D38" i="2"/>
  <c r="D42" i="2"/>
  <c r="B49" i="2"/>
  <c r="D50" i="2"/>
  <c r="D24" i="2"/>
  <c r="D28" i="2"/>
  <c r="D32" i="2"/>
  <c r="D36" i="2"/>
  <c r="D40" i="2"/>
  <c r="D49" i="2"/>
  <c r="G39" i="3" l="1"/>
  <c r="F46" i="3"/>
  <c r="E38" i="3"/>
  <c r="D46" i="3"/>
  <c r="E41" i="3"/>
  <c r="E40" i="3"/>
  <c r="G41" i="3"/>
  <c r="G40" i="3"/>
  <c r="G38" i="3"/>
  <c r="E93" i="3"/>
  <c r="G93" i="3"/>
  <c r="E91" i="3"/>
  <c r="G91" i="3"/>
  <c r="G94" i="3"/>
  <c r="E92" i="3"/>
  <c r="E94" i="3"/>
  <c r="G95" i="3" l="1"/>
  <c r="E42" i="3"/>
  <c r="G42" i="3"/>
  <c r="D50" i="3"/>
  <c r="G70" i="3" s="1"/>
  <c r="H70" i="3" s="1"/>
  <c r="D52" i="3"/>
  <c r="D103" i="3"/>
  <c r="E95" i="3"/>
  <c r="D105" i="3"/>
  <c r="G64" i="3" l="1"/>
  <c r="H64" i="3" s="1"/>
  <c r="G69" i="3"/>
  <c r="H69" i="3" s="1"/>
  <c r="G63" i="3"/>
  <c r="H63" i="3" s="1"/>
  <c r="G65" i="3"/>
  <c r="H65" i="3" s="1"/>
  <c r="G60" i="3"/>
  <c r="H60" i="3" s="1"/>
  <c r="G71" i="3"/>
  <c r="H71" i="3" s="1"/>
  <c r="G67" i="3"/>
  <c r="H67" i="3" s="1"/>
  <c r="G62" i="3"/>
  <c r="H62" i="3" s="1"/>
  <c r="G68" i="3"/>
  <c r="H68" i="3" s="1"/>
  <c r="D51" i="3"/>
  <c r="G66" i="3"/>
  <c r="H66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G76" i="3" l="1"/>
  <c r="H73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<sst xmlns="http://schemas.openxmlformats.org/spreadsheetml/2006/main" count="238" uniqueCount="135">
  <si>
    <t>HPLC System Suitability Report</t>
  </si>
  <si>
    <t>Analysis Data</t>
  </si>
  <si>
    <t>Assay</t>
  </si>
  <si>
    <t>Sample(s)</t>
  </si>
  <si>
    <t>Reference Substance:</t>
  </si>
  <si>
    <t>MAXADOL TABLETS</t>
  </si>
  <si>
    <t>% age Purity:</t>
  </si>
  <si>
    <t>NDQD201609100</t>
  </si>
  <si>
    <t>Weight (mg):</t>
  </si>
  <si>
    <t>PARACETAMOL B.P</t>
  </si>
  <si>
    <t>Standard Conc (mg/mL):</t>
  </si>
  <si>
    <t>Each tablet contains 500 mg of Paracetamol B.P</t>
  </si>
  <si>
    <t>2016-09-13 11:49:00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</si>
  <si>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</si>
  <si>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</si>
  <si>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</si>
  <si>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</si>
  <si>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</si>
  <si>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</si>
  <si>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</si>
  <si>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</si>
  <si>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</si>
  <si>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</si>
  <si>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</si>
  <si>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</si>
  <si>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</si>
  <si>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</si>
  <si>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</si>
  <si>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</si>
  <si>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</si>
  <si>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</si>
  <si>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</si>
  <si>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</si>
  <si>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</si>
  <si>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</si>
  <si>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</si>
  <si>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</si>
  <si>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</si>
  <si>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</si>
  <si>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</si>
  <si>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</si>
  <si>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</si>
  <si>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</si>
  <si>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</si>
  <si>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</si>
  <si>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</si>
  <si>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</si>
  <si>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</si>
  <si>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</si>
  <si>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</si>
  <si>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</si>
  <si>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</si>
  <si>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</si>
  <si>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</si>
  <si>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</si>
  <si>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</si>
  <si>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</si>
  <si>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</si>
  <si>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</si>
  <si>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</si>
  <si>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</si>
  <si>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</si>
  <si>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</si>
  <si>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</si>
  <si>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</si>
  <si>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</si>
  <si>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</si>
  <si>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</si>
  <si>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</si>
  <si>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</si>
  <si>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</si>
  <si>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</si>
  <si>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</si>
  <si>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</si>
  <si>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</si>
  <si>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</si>
  <si>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</si>
  <si>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</si>
  <si>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</si>
  <si>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</si>
  <si>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</si>
  <si>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</si>
  <si>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</si>
  <si>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</si>
  <si>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</si>
  <si>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</si>
  <si>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</si>
  <si>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</si>
  <si>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</si>
  <si>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</si>
  <si>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</si>
  <si>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</si>
  <si>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</si>
  <si>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</si>
  <si>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</si>
  <si>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</si>
  <si>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</si>
  <si>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</si>
  <si>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</si>
  <si>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</si>
  <si>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</si>
  <si>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</si>
  <si>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</si>
  <si>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</si>
  <si>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</si>
  <si>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</si>
  <si>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</si>
  <si>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</si>
  <si>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</si>
  <si>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</si>
  <si>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</si>
  <si>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</si>
  <si>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</si>
  <si>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</si>
  <si>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</si>
  <si>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</si>
  <si>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</si>
  <si>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</si>
  <si>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</si>
  <si>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</si>
  <si>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</si>
  <si>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</si>
  <si>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</si>
  <si>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</si>
  <si>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</si>
  <si>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</si>
  <si>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</si>
  <si>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</si>
  <si>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</si>
  <si>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</si>
  <si>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</si>
  <si>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paracetamol</t>
  </si>
  <si>
    <t>P49 1</t>
  </si>
  <si>
    <t>PARACETAMOL TABLETS</t>
  </si>
  <si>
    <t>PARACETAMOL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</si>
</sst>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2" workbookViewId="0">
      <selection activeCell="C34" sqref="C3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133</v>
      </c>
      <c r="C17" s="220"/>
      <c r="D17" s="9"/>
      <c r="E17" s="10"/>
    </row>
    <row r="18" spans="1:6" ht="16.5" customHeight="1" x14ac:dyDescent="0.3">
      <c r="A18" s="11" t="s">
        <v>4</v>
      </c>
      <c r="B18" s="8" t="s">
        <v>134</v>
      </c>
      <c r="C18" s="72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72"/>
      <c r="D19" s="10"/>
      <c r="E19" s="10"/>
    </row>
    <row r="20" spans="1:6" ht="16.5" customHeight="1" x14ac:dyDescent="0.3">
      <c r="A20" s="7" t="s">
        <v>8</v>
      </c>
      <c r="B20" s="12">
        <v>20.94</v>
      </c>
      <c r="C20" s="72"/>
      <c r="D20" s="10"/>
      <c r="E20" s="10"/>
    </row>
    <row r="21" spans="1:6" ht="16.5" customHeight="1" x14ac:dyDescent="0.3">
      <c r="A21" s="7" t="s">
        <v>10</v>
      </c>
      <c r="B21" s="13">
        <f>B20/20*1/100</f>
        <v>1.0470000000000002E-2</v>
      </c>
      <c r="C21" s="72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14515764</v>
      </c>
      <c r="C24" s="18">
        <v>6856.1</v>
      </c>
      <c r="D24" s="19">
        <v>1.6</v>
      </c>
      <c r="E24" s="20">
        <v>5.5</v>
      </c>
    </row>
    <row r="25" spans="1:6" ht="16.5" customHeight="1" x14ac:dyDescent="0.3">
      <c r="A25" s="17">
        <v>2</v>
      </c>
      <c r="B25" s="18">
        <v>14570391</v>
      </c>
      <c r="C25" s="18">
        <v>7271.3</v>
      </c>
      <c r="D25" s="19">
        <v>1.6</v>
      </c>
      <c r="E25" s="19">
        <v>5.5</v>
      </c>
    </row>
    <row r="26" spans="1:6" ht="16.5" customHeight="1" x14ac:dyDescent="0.3">
      <c r="A26" s="17">
        <v>3</v>
      </c>
      <c r="B26" s="18">
        <v>14580156</v>
      </c>
      <c r="C26" s="18">
        <v>7226.5</v>
      </c>
      <c r="D26" s="19">
        <v>1.6</v>
      </c>
      <c r="E26" s="19">
        <v>5.5</v>
      </c>
    </row>
    <row r="27" spans="1:6" ht="16.5" customHeight="1" x14ac:dyDescent="0.3">
      <c r="A27" s="17">
        <v>4</v>
      </c>
      <c r="B27" s="18">
        <v>14469191</v>
      </c>
      <c r="C27" s="18">
        <v>7270.6</v>
      </c>
      <c r="D27" s="19">
        <v>1.6</v>
      </c>
      <c r="E27" s="19">
        <v>5.5</v>
      </c>
    </row>
    <row r="28" spans="1:6" ht="16.5" customHeight="1" x14ac:dyDescent="0.3">
      <c r="A28" s="17">
        <v>5</v>
      </c>
      <c r="B28" s="18">
        <v>14529802</v>
      </c>
      <c r="C28" s="18">
        <v>7301</v>
      </c>
      <c r="D28" s="19">
        <v>1.6</v>
      </c>
      <c r="E28" s="19">
        <v>5.5</v>
      </c>
    </row>
    <row r="29" spans="1:6" ht="16.5" customHeight="1" x14ac:dyDescent="0.3">
      <c r="A29" s="17">
        <v>6</v>
      </c>
      <c r="B29" s="21">
        <v>14514303</v>
      </c>
      <c r="C29" s="21">
        <v>7334</v>
      </c>
      <c r="D29" s="22">
        <v>1.6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14529934.5</v>
      </c>
      <c r="C30" s="25">
        <f>AVERAGE(C24:C29)</f>
        <v>7209.916666666667</v>
      </c>
      <c r="D30" s="26">
        <f>AVERAGE(D24:D29)</f>
        <v>1.5999999999999999</v>
      </c>
      <c r="E30" s="26">
        <f>AVERAGE(E24:E29)</f>
        <v>5.5</v>
      </c>
    </row>
    <row r="31" spans="1:6" ht="16.5" customHeight="1" x14ac:dyDescent="0.3">
      <c r="A31" s="27" t="s">
        <v>19</v>
      </c>
      <c r="B31" s="28">
        <f>(STDEV(B24:B29)/B30)</f>
        <v>2.8030433450891429E-3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600.16999999999996</v>
      </c>
      <c r="D24" s="87">
        <f t="shared" ref="D24:D43" si="0">(C24-$C$46)/$C$46</f>
        <v>8.1959915402719328E-3</v>
      </c>
      <c r="E24" s="53"/>
    </row>
    <row r="25" spans="1:5" ht="15.75" customHeight="1" x14ac:dyDescent="0.3">
      <c r="C25" s="95">
        <v>602.13</v>
      </c>
      <c r="D25" s="88">
        <f t="shared" si="0"/>
        <v>1.1488498902217665E-2</v>
      </c>
      <c r="E25" s="53"/>
    </row>
    <row r="26" spans="1:5" ht="15.75" customHeight="1" x14ac:dyDescent="0.3">
      <c r="C26" s="95">
        <v>589.63</v>
      </c>
      <c r="D26" s="88">
        <f t="shared" si="0"/>
        <v>-9.5096347836603357E-3</v>
      </c>
      <c r="E26" s="53"/>
    </row>
    <row r="27" spans="1:5" ht="15.75" customHeight="1" x14ac:dyDescent="0.3">
      <c r="C27" s="95">
        <v>614.95000000000005</v>
      </c>
      <c r="D27" s="88">
        <f t="shared" si="0"/>
        <v>3.302418481045423E-2</v>
      </c>
      <c r="E27" s="53"/>
    </row>
    <row r="28" spans="1:5" ht="15.75" customHeight="1" x14ac:dyDescent="0.3">
      <c r="C28" s="95">
        <v>587.54</v>
      </c>
      <c r="D28" s="88">
        <f t="shared" si="0"/>
        <v>-1.3020522735939191E-2</v>
      </c>
      <c r="E28" s="53"/>
    </row>
    <row r="29" spans="1:5" ht="15.75" customHeight="1" x14ac:dyDescent="0.3">
      <c r="C29" s="95">
        <v>601.48</v>
      </c>
      <c r="D29" s="88">
        <f t="shared" si="0"/>
        <v>1.0396595950552047E-2</v>
      </c>
      <c r="E29" s="53"/>
    </row>
    <row r="30" spans="1:5" ht="15.75" customHeight="1" x14ac:dyDescent="0.3">
      <c r="C30" s="95">
        <v>597.34</v>
      </c>
      <c r="D30" s="88">
        <f t="shared" si="0"/>
        <v>3.4420140737892761E-3</v>
      </c>
      <c r="E30" s="53"/>
    </row>
    <row r="31" spans="1:5" ht="15.75" customHeight="1" x14ac:dyDescent="0.3">
      <c r="C31" s="95">
        <v>568.77</v>
      </c>
      <c r="D31" s="88">
        <f t="shared" si="0"/>
        <v>-4.4551320278653571E-2</v>
      </c>
      <c r="E31" s="53"/>
    </row>
    <row r="32" spans="1:5" ht="15.75" customHeight="1" x14ac:dyDescent="0.3">
      <c r="C32" s="95">
        <v>615.1</v>
      </c>
      <c r="D32" s="88">
        <f t="shared" si="0"/>
        <v>3.3276162414684722E-2</v>
      </c>
      <c r="E32" s="53"/>
    </row>
    <row r="33" spans="1:7" ht="15.75" customHeight="1" x14ac:dyDescent="0.3">
      <c r="C33" s="95">
        <v>589.79</v>
      </c>
      <c r="D33" s="88">
        <f t="shared" si="0"/>
        <v>-9.2408586724811517E-3</v>
      </c>
      <c r="E33" s="53"/>
    </row>
    <row r="34" spans="1:7" ht="15.75" customHeight="1" x14ac:dyDescent="0.3">
      <c r="C34" s="95">
        <v>589.79999999999995</v>
      </c>
      <c r="D34" s="88">
        <f t="shared" si="0"/>
        <v>-9.2240601655324637E-3</v>
      </c>
      <c r="E34" s="53"/>
    </row>
    <row r="35" spans="1:7" ht="15.75" customHeight="1" x14ac:dyDescent="0.3">
      <c r="C35" s="95">
        <v>595.25</v>
      </c>
      <c r="D35" s="88">
        <f t="shared" si="0"/>
        <v>-6.8873878489579004E-5</v>
      </c>
      <c r="E35" s="53"/>
    </row>
    <row r="36" spans="1:7" ht="15.75" customHeight="1" x14ac:dyDescent="0.3">
      <c r="C36" s="95">
        <v>597.42999999999995</v>
      </c>
      <c r="D36" s="88">
        <f t="shared" si="0"/>
        <v>3.5932006363274603E-3</v>
      </c>
      <c r="E36" s="53"/>
    </row>
    <row r="37" spans="1:7" ht="15.75" customHeight="1" x14ac:dyDescent="0.3">
      <c r="C37" s="95">
        <v>571.71</v>
      </c>
      <c r="D37" s="88">
        <f t="shared" si="0"/>
        <v>-3.9612559235734972E-2</v>
      </c>
      <c r="E37" s="53"/>
    </row>
    <row r="38" spans="1:7" ht="15.75" customHeight="1" x14ac:dyDescent="0.3">
      <c r="C38" s="95">
        <v>594.69000000000005</v>
      </c>
      <c r="D38" s="88">
        <f t="shared" si="0"/>
        <v>-1.0095902676168218E-3</v>
      </c>
      <c r="E38" s="53"/>
    </row>
    <row r="39" spans="1:7" ht="15.75" customHeight="1" x14ac:dyDescent="0.3">
      <c r="C39" s="95">
        <v>605.32000000000005</v>
      </c>
      <c r="D39" s="88">
        <f t="shared" si="0"/>
        <v>1.6847222618853824E-2</v>
      </c>
      <c r="E39" s="53"/>
    </row>
    <row r="40" spans="1:7" ht="15.75" customHeight="1" x14ac:dyDescent="0.3">
      <c r="C40" s="95">
        <v>602.87</v>
      </c>
      <c r="D40" s="88">
        <f t="shared" si="0"/>
        <v>1.2731588416421658E-2</v>
      </c>
      <c r="E40" s="53"/>
    </row>
    <row r="41" spans="1:7" ht="15.75" customHeight="1" x14ac:dyDescent="0.3">
      <c r="C41" s="95">
        <v>589.74</v>
      </c>
      <c r="D41" s="88">
        <f t="shared" si="0"/>
        <v>-9.3248512072245868E-3</v>
      </c>
      <c r="E41" s="53"/>
    </row>
    <row r="42" spans="1:7" ht="15.75" customHeight="1" x14ac:dyDescent="0.3">
      <c r="C42" s="95">
        <v>599.73</v>
      </c>
      <c r="D42" s="88">
        <f t="shared" si="0"/>
        <v>7.4568572345291269E-3</v>
      </c>
      <c r="E42" s="53"/>
    </row>
    <row r="43" spans="1:7" ht="16.5" customHeight="1" x14ac:dyDescent="0.3">
      <c r="C43" s="96">
        <v>592.38</v>
      </c>
      <c r="D43" s="89">
        <f t="shared" si="0"/>
        <v>-4.8900453727671756E-3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11905.82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595.29099999999994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595.29099999999994</v>
      </c>
      <c r="C49" s="93">
        <f>-IF(C46&lt;=80,10%,IF(C46&lt;250,7.5%,5%))</f>
        <v>-0.05</v>
      </c>
      <c r="D49" s="81">
        <f>IF(C46&lt;=80,C46*0.9,IF(C46&lt;250,C46*0.925,C46*0.95))</f>
        <v>565.52644999999995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625.05554999999993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87" zoomScale="55" zoomScaleNormal="40" zoomScalePageLayoutView="55" workbookViewId="0">
      <selection activeCell="H77" sqref="H7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131</v>
      </c>
      <c r="C26" s="324"/>
    </row>
    <row r="27" spans="1:14" ht="26.25" customHeight="1" x14ac:dyDescent="0.4">
      <c r="A27" s="109" t="s">
        <v>48</v>
      </c>
      <c r="B27" s="330" t="s">
        <v>132</v>
      </c>
      <c r="C27" s="330"/>
    </row>
    <row r="28" spans="1:14" ht="27" customHeight="1" x14ac:dyDescent="0.4">
      <c r="A28" s="109" t="s">
        <v>6</v>
      </c>
      <c r="B28" s="110">
        <v>99.83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06" t="s">
        <v>59</v>
      </c>
      <c r="E36" s="331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14507940</v>
      </c>
      <c r="E38" s="133">
        <f>IF(ISBLANK(D38),"-",$D$48/$D$45*D38)</f>
        <v>13880272.681323292</v>
      </c>
      <c r="F38" s="132">
        <v>15057140</v>
      </c>
      <c r="G38" s="134">
        <f>IF(ISBLANK(F38),"-",$D$48/$F$45*F38)</f>
        <v>14255936.415157186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14546393</v>
      </c>
      <c r="E39" s="138">
        <f>IF(ISBLANK(D39),"-",$D$48/$D$45*D39)</f>
        <v>13917062.061856637</v>
      </c>
      <c r="F39" s="137">
        <v>15086907</v>
      </c>
      <c r="G39" s="139">
        <f>IF(ISBLANK(F39),"-",$D$48/$F$45*F39)</f>
        <v>14284119.487059949</v>
      </c>
      <c r="I39" s="308">
        <f>ABS((F43/D43*D42)-F42)/D42</f>
        <v>2.6862421061252945E-2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14509882</v>
      </c>
      <c r="E40" s="138">
        <f>IF(ISBLANK(D40),"-",$D$48/$D$45*D40)</f>
        <v>13882130.663197158</v>
      </c>
      <c r="F40" s="137">
        <v>15048103</v>
      </c>
      <c r="G40" s="139">
        <f>IF(ISBLANK(F40),"-",$D$48/$F$45*F40)</f>
        <v>14247380.281828826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14521405</v>
      </c>
      <c r="E42" s="148">
        <f>AVERAGE(E38:E41)</f>
        <v>13893155.135459028</v>
      </c>
      <c r="F42" s="147">
        <f>AVERAGE(F38:F41)</f>
        <v>15064050</v>
      </c>
      <c r="G42" s="149">
        <f>AVERAGE(G38:G41)</f>
        <v>14262478.72801532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20.94</v>
      </c>
      <c r="E43" s="140"/>
      <c r="F43" s="152">
        <v>21.16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20.94</v>
      </c>
      <c r="E44" s="155"/>
      <c r="F44" s="154">
        <f>F43*$B$34</f>
        <v>21.16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2000</v>
      </c>
      <c r="C45" s="153" t="s">
        <v>77</v>
      </c>
      <c r="D45" s="157">
        <f>D44*$B$30/100</f>
        <v>20.904402000000001</v>
      </c>
      <c r="E45" s="158"/>
      <c r="F45" s="157">
        <f>F44*$B$30/100</f>
        <v>21.124027999999999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1.0452201000000001E-2</v>
      </c>
      <c r="E46" s="160"/>
      <c r="F46" s="161">
        <f>F45/$B$45</f>
        <v>1.0562014E-2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14077816.931737171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1.442520214901228E-2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500 mg of Paracetamol B.P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PARACETAMOL B.P</v>
      </c>
      <c r="H56" s="179"/>
    </row>
    <row r="57" spans="1:12" ht="18.75" x14ac:dyDescent="0.3">
      <c r="A57" s="176" t="s">
        <v>88</v>
      </c>
      <c r="B57" s="247">
        <f>Uniformity!C46</f>
        <v>595.29099999999994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1" t="s">
        <v>94</v>
      </c>
      <c r="D60" s="314">
        <v>572.27</v>
      </c>
      <c r="E60" s="182">
        <v>1</v>
      </c>
      <c r="F60" s="183">
        <v>13558646</v>
      </c>
      <c r="G60" s="248">
        <f>IF(ISBLANK(F60),"-",(F60/$D$50*$D$47*$B$68)*($B$57/$D$60))</f>
        <v>500.93266248312619</v>
      </c>
      <c r="H60" s="266">
        <f t="shared" ref="H60:H71" si="0">IF(ISBLANK(F60),"-",(G60/$B$56)*100)</f>
        <v>100.18653249662523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2"/>
      <c r="D61" s="315"/>
      <c r="E61" s="184">
        <v>2</v>
      </c>
      <c r="F61" s="137">
        <v>13446440</v>
      </c>
      <c r="G61" s="249">
        <f>IF(ISBLANK(F61),"-",(F61/$D$50*$D$47*$B$68)*($B$57/$D$60))</f>
        <v>496.78714158623262</v>
      </c>
      <c r="H61" s="267">
        <f t="shared" si="0"/>
        <v>99.357428317246516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4">
        <v>3</v>
      </c>
      <c r="F62" s="185">
        <v>13445194</v>
      </c>
      <c r="G62" s="249">
        <f>IF(ISBLANK(F62),"-",(F62/$D$50*$D$47*$B$68)*($B$57/$D$60))</f>
        <v>496.74110733639282</v>
      </c>
      <c r="H62" s="267">
        <f t="shared" si="0"/>
        <v>99.348221467278563</v>
      </c>
      <c r="L62" s="112"/>
    </row>
    <row r="63" spans="1:12" ht="27" customHeight="1" x14ac:dyDescent="0.4">
      <c r="A63" s="124" t="s">
        <v>97</v>
      </c>
      <c r="B63" s="125">
        <v>10</v>
      </c>
      <c r="C63" s="321"/>
      <c r="D63" s="31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627.82000000000005</v>
      </c>
      <c r="E64" s="182">
        <v>1</v>
      </c>
      <c r="F64" s="183">
        <v>15124705</v>
      </c>
      <c r="G64" s="248">
        <f>IF(ISBLANK(F64),"-",(F64/$D$50*$D$47*$B$68)*($B$57/$D$64))</f>
        <v>509.34937053099048</v>
      </c>
      <c r="H64" s="266">
        <f t="shared" si="0"/>
        <v>101.8698741061981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4">
        <v>2</v>
      </c>
      <c r="F65" s="137">
        <v>14949918</v>
      </c>
      <c r="G65" s="249">
        <f>IF(ISBLANK(F65),"-",(F65/$D$50*$D$47*$B$68)*($B$57/$D$64))</f>
        <v>503.46313020914619</v>
      </c>
      <c r="H65" s="267">
        <f t="shared" si="0"/>
        <v>100.69262604182924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4">
        <v>3</v>
      </c>
      <c r="F66" s="137">
        <v>14953350</v>
      </c>
      <c r="G66" s="249">
        <f>IF(ISBLANK(F66),"-",(F66/$D$50*$D$47*$B$68)*($B$57/$D$64))</f>
        <v>503.57870846602208</v>
      </c>
      <c r="H66" s="267">
        <f t="shared" si="0"/>
        <v>100.71574169320441</v>
      </c>
    </row>
    <row r="67" spans="1:8" ht="27" customHeight="1" x14ac:dyDescent="0.4">
      <c r="A67" s="124" t="s">
        <v>102</v>
      </c>
      <c r="B67" s="125">
        <v>1</v>
      </c>
      <c r="C67" s="321"/>
      <c r="D67" s="31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50000</v>
      </c>
      <c r="C68" s="311" t="s">
        <v>104</v>
      </c>
      <c r="D68" s="314">
        <v>573.28</v>
      </c>
      <c r="E68" s="182">
        <v>1</v>
      </c>
      <c r="F68" s="183">
        <v>13492018</v>
      </c>
      <c r="G68" s="248">
        <f>IF(ISBLANK(F68),"-",(F68/$D$50*$D$47*$B$68)*($B$57/$D$68))</f>
        <v>497.5928471178139</v>
      </c>
      <c r="H68" s="267">
        <f t="shared" si="0"/>
        <v>99.518569423562781</v>
      </c>
    </row>
    <row r="69" spans="1:8" ht="27" customHeight="1" x14ac:dyDescent="0.4">
      <c r="A69" s="172" t="s">
        <v>105</v>
      </c>
      <c r="B69" s="189">
        <f>(D47*B68)/B56*B57</f>
        <v>595.29099999999994</v>
      </c>
      <c r="C69" s="312"/>
      <c r="D69" s="315"/>
      <c r="E69" s="184">
        <v>2</v>
      </c>
      <c r="F69" s="137">
        <v>13506275</v>
      </c>
      <c r="G69" s="249">
        <f>IF(ISBLANK(F69),"-",(F69/$D$50*$D$47*$B$68)*($B$57/$D$68))</f>
        <v>498.11865291064333</v>
      </c>
      <c r="H69" s="267">
        <f t="shared" si="0"/>
        <v>99.623730582128672</v>
      </c>
    </row>
    <row r="70" spans="1:8" ht="26.25" customHeight="1" x14ac:dyDescent="0.4">
      <c r="A70" s="317" t="s">
        <v>78</v>
      </c>
      <c r="B70" s="318"/>
      <c r="C70" s="312"/>
      <c r="D70" s="315"/>
      <c r="E70" s="184">
        <v>3</v>
      </c>
      <c r="F70" s="137">
        <v>13483078</v>
      </c>
      <c r="G70" s="249">
        <f>IF(ISBLANK(F70),"-",(F70/$D$50*$D$47*$B$68)*($B$57/$D$68))</f>
        <v>497.26313513156902</v>
      </c>
      <c r="H70" s="267">
        <f t="shared" si="0"/>
        <v>99.452627026313806</v>
      </c>
    </row>
    <row r="71" spans="1:8" ht="27" customHeight="1" x14ac:dyDescent="0.4">
      <c r="A71" s="319"/>
      <c r="B71" s="320"/>
      <c r="C71" s="313"/>
      <c r="D71" s="31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500.42519508577084</v>
      </c>
      <c r="H72" s="269">
        <f>AVERAGE(H60:H71)</f>
        <v>100.08503901715416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8.6303982806298432E-3</v>
      </c>
      <c r="H73" s="253">
        <f>STDEV(H60:H71)/H72</f>
        <v>8.6303982806298415E-3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298" t="str">
        <f>B26</f>
        <v>paracetamol</v>
      </c>
      <c r="D76" s="298"/>
      <c r="E76" s="198" t="s">
        <v>108</v>
      </c>
      <c r="F76" s="198"/>
      <c r="G76" s="199">
        <f>H72</f>
        <v>100.08503901715416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2" t="str">
        <f>B26</f>
        <v>paracetamol</v>
      </c>
      <c r="C79" s="332"/>
    </row>
    <row r="80" spans="1:8" ht="26.25" customHeight="1" x14ac:dyDescent="0.4">
      <c r="A80" s="109" t="s">
        <v>48</v>
      </c>
      <c r="B80" s="332" t="str">
        <f>B27</f>
        <v>P49 1</v>
      </c>
      <c r="C80" s="332"/>
    </row>
    <row r="81" spans="1:12" ht="27" customHeight="1" x14ac:dyDescent="0.4">
      <c r="A81" s="109" t="s">
        <v>6</v>
      </c>
      <c r="B81" s="201">
        <f>B28</f>
        <v>99.83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6" t="s">
        <v>60</v>
      </c>
      <c r="G89" s="307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0.621</v>
      </c>
      <c r="E91" s="133">
        <f>IF(ISBLANK(D91),"-",$D$101/$D$98*D91)</f>
        <v>0.6802903518658886</v>
      </c>
      <c r="F91" s="132">
        <v>0.60699999999999998</v>
      </c>
      <c r="G91" s="134">
        <f>IF(ISBLANK(F91),"-",$D$101/$F$98*F91)</f>
        <v>0.67076345558343187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0.621</v>
      </c>
      <c r="E92" s="138">
        <f>IF(ISBLANK(D92),"-",$D$101/$D$98*D92)</f>
        <v>0.6802903518658886</v>
      </c>
      <c r="F92" s="137">
        <v>0.60799999999999998</v>
      </c>
      <c r="G92" s="139">
        <f>IF(ISBLANK(F92),"-",$D$101/$F$98*F92)</f>
        <v>0.67186850246248198</v>
      </c>
      <c r="I92" s="308">
        <f>ABS((F96/D96*D95)-F95)/D95</f>
        <v>1.1724848771585953E-2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0.622</v>
      </c>
      <c r="E93" s="138">
        <f>IF(ISBLANK(D93),"-",$D$101/$D$98*D93)</f>
        <v>0.681385827472758</v>
      </c>
      <c r="F93" s="137">
        <v>0.61099999999999999</v>
      </c>
      <c r="G93" s="139">
        <f>IF(ISBLANK(F93),"-",$D$101/$F$98*F93)</f>
        <v>0.67518364309963241</v>
      </c>
      <c r="I93" s="30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0.62133333333333329</v>
      </c>
      <c r="E95" s="148">
        <f>AVERAGE(E91:E94)</f>
        <v>0.68065551040151162</v>
      </c>
      <c r="F95" s="211">
        <f>AVERAGE(F91:F94)</f>
        <v>0.60866666666666658</v>
      </c>
      <c r="G95" s="212">
        <f>AVERAGE(G91:G94)</f>
        <v>0.67260520038184879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25.4</v>
      </c>
      <c r="E96" s="140"/>
      <c r="F96" s="152">
        <v>25.18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25.4</v>
      </c>
      <c r="E97" s="155"/>
      <c r="F97" s="154">
        <f>F96*$B$87</f>
        <v>25.18</v>
      </c>
    </row>
    <row r="98" spans="1:10" ht="19.5" customHeight="1" x14ac:dyDescent="0.3">
      <c r="A98" s="124" t="s">
        <v>76</v>
      </c>
      <c r="B98" s="217">
        <f>(B97/B96)*(B95/B94)*(B93/B92)*(B91/B90)*B89</f>
        <v>5000</v>
      </c>
      <c r="C98" s="215" t="s">
        <v>115</v>
      </c>
      <c r="D98" s="218">
        <f>D97*$B$83/100</f>
        <v>25.356819999999999</v>
      </c>
      <c r="E98" s="158"/>
      <c r="F98" s="157">
        <f>F97*$B$83/100</f>
        <v>25.137194000000001</v>
      </c>
    </row>
    <row r="99" spans="1:10" ht="19.5" customHeight="1" x14ac:dyDescent="0.3">
      <c r="A99" s="294" t="s">
        <v>78</v>
      </c>
      <c r="B99" s="309"/>
      <c r="C99" s="215" t="s">
        <v>116</v>
      </c>
      <c r="D99" s="219">
        <f>D98/$B$98</f>
        <v>5.0713640000000001E-3</v>
      </c>
      <c r="E99" s="158"/>
      <c r="F99" s="161">
        <f>F98/$B$98</f>
        <v>5.0274387999999998E-3</v>
      </c>
      <c r="G99" s="220"/>
      <c r="H99" s="150"/>
    </row>
    <row r="100" spans="1:10" ht="19.5" customHeight="1" x14ac:dyDescent="0.3">
      <c r="A100" s="296"/>
      <c r="B100" s="310"/>
      <c r="C100" s="215" t="s">
        <v>80</v>
      </c>
      <c r="D100" s="221">
        <f>$B$56/$B$116</f>
        <v>5.5555555555555558E-3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0.67663035539168026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6.8875890655018847E-3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3">
        <v>1</v>
      </c>
      <c r="D108" s="333">
        <v>0.625</v>
      </c>
      <c r="E108" s="250">
        <f t="shared" ref="E108:E113" si="1">IF(ISBLANK(D108),"-",D108/$D$103*$D$100*$B$116)</f>
        <v>461.84744374807639</v>
      </c>
      <c r="F108" s="274">
        <f t="shared" ref="F108:F113" si="2">IF(ISBLANK(D108), "-", (E108/$B$56)*100)</f>
        <v>92.369488749615286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334">
        <v>0.63900000000000001</v>
      </c>
      <c r="E109" s="251">
        <f t="shared" si="1"/>
        <v>472.1928264880334</v>
      </c>
      <c r="F109" s="275">
        <f t="shared" si="2"/>
        <v>94.438565297606686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334">
        <v>0.58399999999999996</v>
      </c>
      <c r="E110" s="251">
        <f t="shared" si="1"/>
        <v>431.55025143820257</v>
      </c>
      <c r="F110" s="275">
        <f t="shared" si="2"/>
        <v>86.310050287640522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334">
        <v>0.59099999999999997</v>
      </c>
      <c r="E111" s="251">
        <f t="shared" si="1"/>
        <v>436.72294280818107</v>
      </c>
      <c r="F111" s="275">
        <f t="shared" si="2"/>
        <v>87.344588561636215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334">
        <v>0.6</v>
      </c>
      <c r="E112" s="251">
        <f t="shared" si="1"/>
        <v>443.37354599815336</v>
      </c>
      <c r="F112" s="275">
        <f t="shared" si="2"/>
        <v>88.674709199630669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335">
        <v>0.61499999999999999</v>
      </c>
      <c r="E113" s="252">
        <f t="shared" si="1"/>
        <v>454.45788464810721</v>
      </c>
      <c r="F113" s="276">
        <f t="shared" si="2"/>
        <v>90.891576929621436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450.0241491881257</v>
      </c>
      <c r="F115" s="278">
        <f>AVERAGE(F108:F113)</f>
        <v>90.004829837625138</v>
      </c>
    </row>
    <row r="116" spans="1:10" ht="27" customHeight="1" x14ac:dyDescent="0.4">
      <c r="A116" s="124" t="s">
        <v>103</v>
      </c>
      <c r="B116" s="156">
        <f>(B115/B114)*(B113/B112)*(B111/B110)*(B109/B108)*B107</f>
        <v>90000</v>
      </c>
      <c r="C116" s="234"/>
      <c r="D116" s="258" t="s">
        <v>84</v>
      </c>
      <c r="E116" s="256">
        <f>STDEV(E108:E113)/E115</f>
        <v>3.4615430129527433E-2</v>
      </c>
      <c r="F116" s="235">
        <f>STDEV(F108:F113)/F115</f>
        <v>3.461543012952744E-2</v>
      </c>
      <c r="I116" s="98"/>
    </row>
    <row r="117" spans="1:10" ht="27" customHeight="1" x14ac:dyDescent="0.4">
      <c r="A117" s="294" t="s">
        <v>78</v>
      </c>
      <c r="B117" s="29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6"/>
      <c r="B118" s="297"/>
      <c r="C118" s="98"/>
      <c r="D118" s="260"/>
      <c r="E118" s="322" t="s">
        <v>123</v>
      </c>
      <c r="F118" s="32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431.55025143820257</v>
      </c>
      <c r="F119" s="279">
        <f>MIN(F108:F113)</f>
        <v>86.310050287640522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472.1928264880334</v>
      </c>
      <c r="F120" s="280">
        <f>MAX(F108:F113)</f>
        <v>94.438565297606686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298" t="str">
        <f>B26</f>
        <v>paracetamol</v>
      </c>
      <c r="D124" s="298"/>
      <c r="E124" s="198" t="s">
        <v>127</v>
      </c>
      <c r="F124" s="198"/>
      <c r="G124" s="281">
        <f>F115</f>
        <v>90.004829837625138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86.310050287640522</v>
      </c>
      <c r="E125" s="209" t="s">
        <v>130</v>
      </c>
      <c r="F125" s="281">
        <f>MAX(F108:F113)</f>
        <v>94.438565297606686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299" t="s">
        <v>26</v>
      </c>
      <c r="C127" s="299"/>
      <c r="E127" s="204" t="s">
        <v>27</v>
      </c>
      <c r="F127" s="239"/>
      <c r="G127" s="299" t="s">
        <v>28</v>
      </c>
      <c r="H127" s="29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paracetamol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2016-10-26T08:15:55Z</dcterms:modified>
</cp:coreProperties>
</file>