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SST (2)" sheetId="6" r:id="rId2"/>
    <sheet name="Uniformity" sheetId="2" r:id="rId3"/>
    <sheet name="Uniformity (2)" sheetId="7" r:id="rId4"/>
    <sheet name="paracetamol" sheetId="3" r:id="rId5"/>
    <sheet name="aspirin" sheetId="4" r:id="rId6"/>
    <sheet name="caffeine" sheetId="5" r:id="rId7"/>
  </sheets>
  <definedNames>
    <definedName name="_xlnm.Print_Area" localSheetId="2">Uniformity!$A$1:$F$56</definedName>
    <definedName name="_xlnm.Print_Area" localSheetId="3">'Uniformity (2)'!$A$1:$F$56</definedName>
  </definedNames>
  <calcPr calcId="145621"/>
</workbook>
</file>

<file path=xl/calcChain.xml><?xml version="1.0" encoding="utf-8"?>
<calcChain xmlns="http://schemas.openxmlformats.org/spreadsheetml/2006/main">
  <c r="C46" i="7" l="1"/>
  <c r="D50" i="7" s="1"/>
  <c r="C45" i="7"/>
  <c r="C19" i="7"/>
  <c r="D24" i="7" l="1"/>
  <c r="D40" i="7"/>
  <c r="D28" i="7"/>
  <c r="D32" i="7"/>
  <c r="D36" i="7"/>
  <c r="D27" i="7"/>
  <c r="D31" i="7"/>
  <c r="D35" i="7"/>
  <c r="D39" i="7"/>
  <c r="D43" i="7"/>
  <c r="C49" i="7"/>
  <c r="C50" i="7"/>
  <c r="D49" i="7"/>
  <c r="D25" i="7"/>
  <c r="D29" i="7"/>
  <c r="D33" i="7"/>
  <c r="D37" i="7"/>
  <c r="D41" i="7"/>
  <c r="D26" i="7"/>
  <c r="D30" i="7"/>
  <c r="D34" i="7"/>
  <c r="D38" i="7"/>
  <c r="D42" i="7"/>
  <c r="B49" i="7"/>
  <c r="B21" i="6"/>
  <c r="B53" i="6"/>
  <c r="E51" i="6"/>
  <c r="D51" i="6"/>
  <c r="C51" i="6"/>
  <c r="B51" i="6"/>
  <c r="B52" i="6" s="1"/>
  <c r="B32" i="6"/>
  <c r="E30" i="6"/>
  <c r="D30" i="6"/>
  <c r="C30" i="6"/>
  <c r="B30" i="6"/>
  <c r="B31" i="6" s="1"/>
  <c r="B42" i="1"/>
  <c r="B21" i="1"/>
  <c r="C124" i="5"/>
  <c r="B116" i="5"/>
  <c r="D100" i="5"/>
  <c r="B98" i="5"/>
  <c r="F95" i="5"/>
  <c r="D95" i="5"/>
  <c r="I92" i="5" s="1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B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D101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50" i="2"/>
  <c r="C46" i="2"/>
  <c r="D41" i="2" s="1"/>
  <c r="C45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5" l="1"/>
  <c r="D102" i="5" s="1"/>
  <c r="I39" i="5"/>
  <c r="D49" i="5"/>
  <c r="F45" i="5"/>
  <c r="G40" i="5" s="1"/>
  <c r="I92" i="4"/>
  <c r="D101" i="4"/>
  <c r="D102" i="4" s="1"/>
  <c r="I39" i="4"/>
  <c r="D45" i="4"/>
  <c r="D46" i="4" s="1"/>
  <c r="I92" i="3"/>
  <c r="I39" i="3"/>
  <c r="D49" i="3"/>
  <c r="F45" i="3"/>
  <c r="G40" i="3" s="1"/>
  <c r="F98" i="5"/>
  <c r="F99" i="5" s="1"/>
  <c r="F46" i="3"/>
  <c r="G41" i="3"/>
  <c r="B57" i="5"/>
  <c r="B69" i="5" s="1"/>
  <c r="B57" i="3"/>
  <c r="B69" i="3" s="1"/>
  <c r="D49" i="2"/>
  <c r="C49" i="2"/>
  <c r="D43" i="2"/>
  <c r="D39" i="2"/>
  <c r="B57" i="4"/>
  <c r="B69" i="4" s="1"/>
  <c r="D50" i="2"/>
  <c r="B49" i="2"/>
  <c r="D42" i="2"/>
  <c r="D38" i="2"/>
  <c r="D34" i="2"/>
  <c r="F98" i="3"/>
  <c r="D49" i="4"/>
  <c r="E40" i="4"/>
  <c r="E38" i="4"/>
  <c r="F98" i="4"/>
  <c r="F99" i="4" s="1"/>
  <c r="D97" i="3"/>
  <c r="D98" i="3" s="1"/>
  <c r="F44" i="4"/>
  <c r="F45" i="4" s="1"/>
  <c r="F46" i="4" s="1"/>
  <c r="D97" i="5"/>
  <c r="D98" i="5" s="1"/>
  <c r="D99" i="5" s="1"/>
  <c r="D44" i="3"/>
  <c r="D45" i="3" s="1"/>
  <c r="D102" i="3"/>
  <c r="D44" i="5"/>
  <c r="D45" i="5" s="1"/>
  <c r="D97" i="4"/>
  <c r="D98" i="4" s="1"/>
  <c r="D99" i="4" s="1"/>
  <c r="G93" i="5" l="1"/>
  <c r="G38" i="5"/>
  <c r="G41" i="5"/>
  <c r="G39" i="5"/>
  <c r="F46" i="5"/>
  <c r="G92" i="5"/>
  <c r="G91" i="5"/>
  <c r="G94" i="5"/>
  <c r="E39" i="4"/>
  <c r="E41" i="4"/>
  <c r="G38" i="3"/>
  <c r="G42" i="3" s="1"/>
  <c r="G39" i="3"/>
  <c r="E41" i="5"/>
  <c r="D46" i="5"/>
  <c r="E39" i="5"/>
  <c r="E40" i="5"/>
  <c r="E38" i="5"/>
  <c r="G40" i="4"/>
  <c r="G94" i="3"/>
  <c r="F99" i="3"/>
  <c r="G92" i="3"/>
  <c r="G93" i="3"/>
  <c r="G91" i="3"/>
  <c r="E91" i="3"/>
  <c r="D99" i="3"/>
  <c r="E92" i="3"/>
  <c r="E93" i="3"/>
  <c r="G39" i="4"/>
  <c r="G38" i="4"/>
  <c r="E92" i="5"/>
  <c r="E94" i="5"/>
  <c r="E91" i="4"/>
  <c r="E92" i="4"/>
  <c r="E91" i="5"/>
  <c r="G94" i="4"/>
  <c r="G93" i="4"/>
  <c r="E41" i="3"/>
  <c r="D46" i="3"/>
  <c r="E39" i="3"/>
  <c r="E40" i="3"/>
  <c r="E38" i="3"/>
  <c r="G92" i="4"/>
  <c r="G91" i="4"/>
  <c r="G41" i="4"/>
  <c r="E93" i="5"/>
  <c r="E94" i="4"/>
  <c r="E93" i="4"/>
  <c r="E94" i="3"/>
  <c r="G95" i="5" l="1"/>
  <c r="G42" i="5"/>
  <c r="E42" i="4"/>
  <c r="D50" i="4"/>
  <c r="G68" i="4" s="1"/>
  <c r="H68" i="4" s="1"/>
  <c r="D52" i="4"/>
  <c r="G95" i="4"/>
  <c r="G42" i="4"/>
  <c r="G95" i="3"/>
  <c r="E95" i="4"/>
  <c r="D105" i="4"/>
  <c r="D103" i="4"/>
  <c r="D103" i="3"/>
  <c r="E95" i="3"/>
  <c r="D105" i="3"/>
  <c r="D103" i="5"/>
  <c r="E95" i="5"/>
  <c r="D105" i="5"/>
  <c r="D50" i="3"/>
  <c r="E42" i="3"/>
  <c r="D52" i="3"/>
  <c r="D50" i="5"/>
  <c r="E42" i="5"/>
  <c r="D52" i="5"/>
  <c r="D51" i="4" l="1"/>
  <c r="G62" i="4"/>
  <c r="H62" i="4" s="1"/>
  <c r="G69" i="4"/>
  <c r="H69" i="4" s="1"/>
  <c r="G65" i="4"/>
  <c r="H65" i="4" s="1"/>
  <c r="G67" i="4"/>
  <c r="H67" i="4" s="1"/>
  <c r="G71" i="4"/>
  <c r="H71" i="4" s="1"/>
  <c r="G63" i="4"/>
  <c r="H63" i="4" s="1"/>
  <c r="G60" i="4"/>
  <c r="H60" i="4" s="1"/>
  <c r="G66" i="4"/>
  <c r="H66" i="4" s="1"/>
  <c r="G61" i="4"/>
  <c r="H61" i="4" s="1"/>
  <c r="G70" i="4"/>
  <c r="H70" i="4" s="1"/>
  <c r="G64" i="4"/>
  <c r="H64" i="4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D51" i="5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E120" i="5"/>
  <c r="E117" i="5"/>
  <c r="F108" i="5"/>
  <c r="E115" i="5"/>
  <c r="E116" i="5" s="1"/>
  <c r="E119" i="5"/>
  <c r="H74" i="4"/>
  <c r="H72" i="4"/>
  <c r="G74" i="3"/>
  <c r="G72" i="3"/>
  <c r="G73" i="3" s="1"/>
  <c r="H60" i="3"/>
  <c r="G74" i="5"/>
  <c r="G72" i="5"/>
  <c r="G73" i="5" s="1"/>
  <c r="H60" i="5"/>
  <c r="E120" i="3"/>
  <c r="E117" i="3"/>
  <c r="F108" i="3"/>
  <c r="E115" i="3"/>
  <c r="E116" i="3" s="1"/>
  <c r="E119" i="3"/>
  <c r="E115" i="4"/>
  <c r="E116" i="4" s="1"/>
  <c r="E119" i="4"/>
  <c r="E120" i="4"/>
  <c r="E117" i="4"/>
  <c r="F108" i="4"/>
  <c r="F125" i="3" l="1"/>
  <c r="F120" i="3"/>
  <c r="F117" i="3"/>
  <c r="D125" i="3"/>
  <c r="F115" i="3"/>
  <c r="F119" i="3"/>
  <c r="F119" i="4"/>
  <c r="F125" i="4"/>
  <c r="F120" i="4"/>
  <c r="F117" i="4"/>
  <c r="D125" i="4"/>
  <c r="F115" i="4"/>
  <c r="G76" i="4"/>
  <c r="H73" i="4"/>
  <c r="F125" i="5"/>
  <c r="F120" i="5"/>
  <c r="F117" i="5"/>
  <c r="D125" i="5"/>
  <c r="F115" i="5"/>
  <c r="F119" i="5"/>
  <c r="H74" i="3"/>
  <c r="H72" i="3"/>
  <c r="H74" i="5"/>
  <c r="H72" i="5"/>
  <c r="G124" i="5" l="1"/>
  <c r="F116" i="5"/>
  <c r="G76" i="5"/>
  <c r="H73" i="5"/>
  <c r="G124" i="4"/>
  <c r="F116" i="4"/>
  <c r="G76" i="3"/>
  <c r="H73" i="3"/>
  <c r="G124" i="3"/>
  <c r="F116" i="3"/>
</calcChain>
</file>

<file path=xl/sharedStrings.xml><?xml version="1.0" encoding="utf-8"?>
<sst xmlns="http://schemas.openxmlformats.org/spreadsheetml/2006/main" count="642" uniqueCount="138">
  <si>
    <t>HPLC System Suitability Report</t>
  </si>
  <si>
    <t>Analysis Data</t>
  </si>
  <si>
    <t>Assay</t>
  </si>
  <si>
    <t>Sample(s)</t>
  </si>
  <si>
    <t>Reference Substance:</t>
  </si>
  <si>
    <t>ACTION TABLETS</t>
  </si>
  <si>
    <t>% age Purity:</t>
  </si>
  <si>
    <t>NDQD201609104</t>
  </si>
  <si>
    <t>Weight (mg):</t>
  </si>
  <si>
    <t>Each tablet contains Acetylsalicylic Acid B.P ParacetamolB.P, Caffeine Anhdrous B.P</t>
  </si>
  <si>
    <t>Standard Conc (mg/mL):</t>
  </si>
  <si>
    <t>Each tablet contains Acetylsalicylic Acid B.P 600 mg, Paracetamol B.P 300 mg, Caffeine Anhdrous B.P 50 MG</t>
  </si>
  <si>
    <t>2016-09-13 12:28:11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</si>
  <si>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</si>
  <si>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</si>
  <si>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</si>
  <si>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</si>
  <si>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</si>
  <si>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</si>
  <si>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</si>
  <si>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</si>
  <si>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</si>
  <si>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</si>
  <si>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</si>
  <si>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</si>
  <si>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</si>
  <si>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</si>
  <si>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</si>
  <si>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</si>
  <si>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</si>
  <si>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</si>
  <si>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</si>
  <si>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</si>
  <si>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</si>
  <si>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</si>
  <si>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</si>
  <si>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</si>
  <si>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</si>
  <si>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</si>
  <si>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</si>
  <si>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</si>
  <si>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</si>
  <si>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</si>
  <si>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</si>
  <si>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</si>
  <si>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</si>
  <si>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</si>
  <si>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</si>
  <si>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</si>
  <si>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</si>
  <si>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</si>
  <si>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</si>
  <si>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</si>
  <si>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</si>
  <si>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</si>
  <si>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</si>
  <si>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</si>
  <si>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</si>
  <si>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</si>
  <si>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</si>
  <si>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</si>
  <si>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</si>
  <si>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</si>
  <si>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</si>
  <si>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</si>
  <si>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</si>
  <si>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</si>
  <si>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</si>
  <si>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</si>
  <si>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</si>
  <si>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</si>
  <si>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</si>
  <si>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</si>
  <si>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</si>
  <si>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</si>
  <si>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</si>
  <si>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</si>
  <si>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</si>
  <si>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</si>
  <si>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</si>
  <si>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</si>
  <si>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</si>
  <si>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</si>
  <si>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</si>
  <si>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</si>
  <si>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</si>
  <si>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</si>
  <si>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</si>
  <si>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</si>
  <si>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</si>
  <si>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</si>
  <si>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</si>
  <si>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</si>
  <si>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</si>
  <si>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</si>
  <si>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</si>
  <si>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</si>
  <si>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</si>
  <si>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</si>
  <si>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</si>
  <si>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</si>
  <si>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</si>
  <si>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</si>
  <si>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</si>
  <si>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</si>
  <si>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</si>
  <si>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</si>
  <si>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</si>
  <si>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</si>
  <si>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</si>
  <si>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</si>
  <si>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</si>
  <si>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</si>
  <si>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</si>
  <si>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</si>
  <si>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</si>
  <si>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</si>
  <si>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</si>
  <si>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</si>
  <si>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</si>
  <si>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</si>
  <si>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</si>
  <si>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</si>
  <si>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</si>
  <si>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</si>
  <si>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</si>
  <si>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</si>
  <si>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</si>
  <si>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</si>
  <si>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</si>
  <si>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Paracetamol</t>
  </si>
  <si>
    <t>caffeine</t>
  </si>
  <si>
    <t>Aspirin</t>
  </si>
  <si>
    <t>paracetamol</t>
  </si>
  <si>
    <t>P49 2</t>
  </si>
  <si>
    <t>A30 1</t>
  </si>
  <si>
    <t>Caffeine</t>
  </si>
  <si>
    <t>C55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</si>
</sst>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3" fontId="12" fillId="2" borderId="0" xfId="0" applyNumberFormat="1" applyFont="1" applyFill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6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50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61" t="s">
        <v>0</v>
      </c>
      <c r="B15" s="661"/>
      <c r="C15" s="661"/>
      <c r="D15" s="661"/>
      <c r="E15" s="66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10.26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0.1026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15206830</v>
      </c>
      <c r="C24" s="18">
        <v>3177.1</v>
      </c>
      <c r="D24" s="19">
        <v>1.2</v>
      </c>
      <c r="E24" s="20">
        <v>4</v>
      </c>
    </row>
    <row r="25" spans="1:6" ht="16.5" customHeight="1" x14ac:dyDescent="0.3">
      <c r="A25" s="17">
        <v>2</v>
      </c>
      <c r="B25" s="18">
        <v>14847406</v>
      </c>
      <c r="C25" s="18">
        <v>3164.4</v>
      </c>
      <c r="D25" s="19">
        <v>1.2</v>
      </c>
      <c r="E25" s="19">
        <v>4.0999999999999996</v>
      </c>
    </row>
    <row r="26" spans="1:6" ht="16.5" customHeight="1" x14ac:dyDescent="0.3">
      <c r="A26" s="17">
        <v>3</v>
      </c>
      <c r="B26" s="18">
        <v>15017489</v>
      </c>
      <c r="C26" s="18">
        <v>3203.7</v>
      </c>
      <c r="D26" s="19">
        <v>1.2</v>
      </c>
      <c r="E26" s="19">
        <v>4.0999999999999996</v>
      </c>
    </row>
    <row r="27" spans="1:6" ht="16.5" customHeight="1" x14ac:dyDescent="0.3">
      <c r="A27" s="17">
        <v>4</v>
      </c>
      <c r="B27" s="18">
        <v>14793659</v>
      </c>
      <c r="C27" s="18">
        <v>3138.8</v>
      </c>
      <c r="D27" s="19">
        <v>1.2</v>
      </c>
      <c r="E27" s="19">
        <v>4.0999999999999996</v>
      </c>
    </row>
    <row r="28" spans="1:6" ht="16.5" customHeight="1" x14ac:dyDescent="0.3">
      <c r="A28" s="17">
        <v>5</v>
      </c>
      <c r="B28" s="18">
        <v>14901511</v>
      </c>
      <c r="C28" s="18">
        <v>3128.4</v>
      </c>
      <c r="D28" s="19">
        <v>1.2</v>
      </c>
      <c r="E28" s="19">
        <v>4.0999999999999996</v>
      </c>
    </row>
    <row r="29" spans="1:6" ht="16.5" customHeight="1" x14ac:dyDescent="0.3">
      <c r="A29" s="17">
        <v>6</v>
      </c>
      <c r="B29" s="21">
        <v>14976166</v>
      </c>
      <c r="C29" s="21">
        <v>3143.1</v>
      </c>
      <c r="D29" s="22">
        <v>1.2</v>
      </c>
      <c r="E29" s="22">
        <v>4.0999999999999996</v>
      </c>
    </row>
    <row r="30" spans="1:6" ht="16.5" customHeight="1" x14ac:dyDescent="0.3">
      <c r="A30" s="23" t="s">
        <v>18</v>
      </c>
      <c r="B30" s="24">
        <f>AVERAGE(B24:B29)</f>
        <v>14957176.833333334</v>
      </c>
      <c r="C30" s="25">
        <f>AVERAGE(C24:C29)</f>
        <v>3159.25</v>
      </c>
      <c r="D30" s="26">
        <f>AVERAGE(D24:D29)</f>
        <v>1.2</v>
      </c>
      <c r="E30" s="26">
        <f>AVERAGE(E24:E29)</f>
        <v>4.083333333333333</v>
      </c>
    </row>
    <row r="31" spans="1:6" ht="16.5" customHeight="1" x14ac:dyDescent="0.3">
      <c r="A31" s="27" t="s">
        <v>19</v>
      </c>
      <c r="B31" s="28">
        <f>(STDEV(B24:B29)/B30)</f>
        <v>9.8356163664791874E-3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</v>
      </c>
      <c r="C40" s="10"/>
      <c r="D40" s="10"/>
      <c r="E40" s="10"/>
    </row>
    <row r="41" spans="1:6" ht="16.5" customHeight="1" x14ac:dyDescent="0.3">
      <c r="A41" s="7" t="s">
        <v>8</v>
      </c>
      <c r="B41" s="12">
        <v>25.95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B41/25*2/100</f>
        <v>2.0760000000000001E-2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10165495</v>
      </c>
      <c r="C45" s="18">
        <v>3630.5</v>
      </c>
      <c r="D45" s="19">
        <v>1.2</v>
      </c>
      <c r="E45" s="20">
        <v>4.7</v>
      </c>
    </row>
    <row r="46" spans="1:6" ht="16.5" customHeight="1" x14ac:dyDescent="0.3">
      <c r="A46" s="17">
        <v>2</v>
      </c>
      <c r="B46" s="18">
        <v>9858685</v>
      </c>
      <c r="C46" s="18">
        <v>3673</v>
      </c>
      <c r="D46" s="19">
        <v>1.2</v>
      </c>
      <c r="E46" s="19">
        <v>4.7</v>
      </c>
    </row>
    <row r="47" spans="1:6" ht="16.5" customHeight="1" x14ac:dyDescent="0.3">
      <c r="A47" s="17">
        <v>3</v>
      </c>
      <c r="B47" s="18">
        <v>9962775</v>
      </c>
      <c r="C47" s="18">
        <v>3675.3</v>
      </c>
      <c r="D47" s="19">
        <v>1.2</v>
      </c>
      <c r="E47" s="19">
        <v>4.7</v>
      </c>
    </row>
    <row r="48" spans="1:6" ht="16.5" customHeight="1" x14ac:dyDescent="0.3">
      <c r="A48" s="17">
        <v>4</v>
      </c>
      <c r="B48" s="18">
        <v>9813659</v>
      </c>
      <c r="C48" s="18">
        <v>3648.3</v>
      </c>
      <c r="D48" s="19">
        <v>1.2</v>
      </c>
      <c r="E48" s="19">
        <v>4.7</v>
      </c>
    </row>
    <row r="49" spans="1:7" ht="16.5" customHeight="1" x14ac:dyDescent="0.3">
      <c r="A49" s="17">
        <v>5</v>
      </c>
      <c r="B49" s="18">
        <v>9892470</v>
      </c>
      <c r="C49" s="18">
        <v>3636.6</v>
      </c>
      <c r="D49" s="19">
        <v>1.2</v>
      </c>
      <c r="E49" s="19">
        <v>4.7</v>
      </c>
    </row>
    <row r="50" spans="1:7" ht="16.5" customHeight="1" x14ac:dyDescent="0.3">
      <c r="A50" s="17">
        <v>6</v>
      </c>
      <c r="B50" s="21">
        <v>9932396</v>
      </c>
      <c r="C50" s="21">
        <v>3643.2</v>
      </c>
      <c r="D50" s="22">
        <v>1.2</v>
      </c>
      <c r="E50" s="22">
        <v>4.7</v>
      </c>
    </row>
    <row r="51" spans="1:7" ht="16.5" customHeight="1" x14ac:dyDescent="0.3">
      <c r="A51" s="23" t="s">
        <v>18</v>
      </c>
      <c r="B51" s="24">
        <f>AVERAGE(B45:B50)</f>
        <v>9937580</v>
      </c>
      <c r="C51" s="25">
        <f>AVERAGE(C45:C50)</f>
        <v>3651.1499999999996</v>
      </c>
      <c r="D51" s="26">
        <f>AVERAGE(D45:D50)</f>
        <v>1.2</v>
      </c>
      <c r="E51" s="26">
        <f>AVERAGE(E45:E50)</f>
        <v>4.7</v>
      </c>
    </row>
    <row r="52" spans="1:7" ht="16.5" customHeight="1" x14ac:dyDescent="0.3">
      <c r="A52" s="27" t="s">
        <v>19</v>
      </c>
      <c r="B52" s="28">
        <f>(STDEV(B45:B50)/B51)</f>
        <v>1.2424427901471738E-2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62" t="s">
        <v>25</v>
      </c>
      <c r="C59" s="66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8" workbookViewId="0">
      <selection activeCell="C42" sqref="C42"/>
    </sheetView>
  </sheetViews>
  <sheetFormatPr defaultRowHeight="13.5" x14ac:dyDescent="0.25"/>
  <cols>
    <col min="1" max="1" width="27.5703125" style="594" customWidth="1"/>
    <col min="2" max="2" width="20.42578125" style="594" customWidth="1"/>
    <col min="3" max="3" width="31.85546875" style="594" customWidth="1"/>
    <col min="4" max="4" width="25.85546875" style="594" customWidth="1"/>
    <col min="5" max="5" width="25.7109375" style="594" customWidth="1"/>
    <col min="6" max="6" width="23.140625" style="594" customWidth="1"/>
    <col min="7" max="7" width="28.42578125" style="594" customWidth="1"/>
    <col min="8" max="8" width="21.5703125" style="594" customWidth="1"/>
    <col min="9" max="9" width="9.140625" style="59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1" t="s">
        <v>0</v>
      </c>
      <c r="B15" s="661"/>
      <c r="C15" s="661"/>
      <c r="D15" s="661"/>
      <c r="E15" s="661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594" t="s">
        <v>132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99.9</v>
      </c>
      <c r="C19" s="72"/>
      <c r="D19" s="72"/>
      <c r="E19" s="72"/>
    </row>
    <row r="20" spans="1:5" ht="16.5" customHeight="1" x14ac:dyDescent="0.3">
      <c r="A20" s="8" t="s">
        <v>8</v>
      </c>
      <c r="B20" s="12">
        <v>20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B20/100</f>
        <v>0.2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11929621</v>
      </c>
      <c r="C24" s="18">
        <v>5218.3</v>
      </c>
      <c r="D24" s="19">
        <v>1.3</v>
      </c>
      <c r="E24" s="20">
        <v>9.4</v>
      </c>
    </row>
    <row r="25" spans="1:5" ht="16.5" customHeight="1" x14ac:dyDescent="0.3">
      <c r="A25" s="17">
        <v>2</v>
      </c>
      <c r="B25" s="18">
        <v>11457821</v>
      </c>
      <c r="C25" s="18">
        <v>5417.8</v>
      </c>
      <c r="D25" s="19">
        <v>1.2</v>
      </c>
      <c r="E25" s="19">
        <v>9.5</v>
      </c>
    </row>
    <row r="26" spans="1:5" ht="16.5" customHeight="1" x14ac:dyDescent="0.3">
      <c r="A26" s="17">
        <v>3</v>
      </c>
      <c r="B26" s="18">
        <v>11552102</v>
      </c>
      <c r="C26" s="18">
        <v>5514.6</v>
      </c>
      <c r="D26" s="19">
        <v>1.3</v>
      </c>
      <c r="E26" s="19">
        <v>9.5</v>
      </c>
    </row>
    <row r="27" spans="1:5" ht="16.5" customHeight="1" x14ac:dyDescent="0.3">
      <c r="A27" s="17">
        <v>4</v>
      </c>
      <c r="B27" s="18">
        <v>11376663</v>
      </c>
      <c r="C27" s="18">
        <v>5366.7</v>
      </c>
      <c r="D27" s="19">
        <v>1.2</v>
      </c>
      <c r="E27" s="19">
        <v>9.5</v>
      </c>
    </row>
    <row r="28" spans="1:5" ht="16.5" customHeight="1" x14ac:dyDescent="0.3">
      <c r="A28" s="17">
        <v>5</v>
      </c>
      <c r="B28" s="18">
        <v>11481672</v>
      </c>
      <c r="C28" s="18">
        <v>5367.7</v>
      </c>
      <c r="D28" s="19">
        <v>1.2</v>
      </c>
      <c r="E28" s="19">
        <v>9.5</v>
      </c>
    </row>
    <row r="29" spans="1:5" ht="16.5" customHeight="1" x14ac:dyDescent="0.3">
      <c r="A29" s="17">
        <v>6</v>
      </c>
      <c r="B29" s="21">
        <v>11501023</v>
      </c>
      <c r="C29" s="21">
        <v>5379.9</v>
      </c>
      <c r="D29" s="22">
        <v>1.2</v>
      </c>
      <c r="E29" s="22">
        <v>9.5</v>
      </c>
    </row>
    <row r="30" spans="1:5" ht="16.5" customHeight="1" x14ac:dyDescent="0.3">
      <c r="A30" s="23" t="s">
        <v>18</v>
      </c>
      <c r="B30" s="24">
        <f>AVERAGE(B24:B29)</f>
        <v>11549817</v>
      </c>
      <c r="C30" s="25">
        <f>AVERAGE(C24:C29)</f>
        <v>5377.5</v>
      </c>
      <c r="D30" s="26">
        <f>AVERAGE(D24:D29)</f>
        <v>1.2333333333333334</v>
      </c>
      <c r="E30" s="26">
        <f>AVERAGE(E24:E29)</f>
        <v>9.4833333333333325</v>
      </c>
    </row>
    <row r="31" spans="1:5" ht="16.5" customHeight="1" x14ac:dyDescent="0.3">
      <c r="A31" s="27" t="s">
        <v>19</v>
      </c>
      <c r="B31" s="28">
        <f>(STDEV(B24:B29)/B30)</f>
        <v>1.686567993273376E-2</v>
      </c>
      <c r="C31" s="29"/>
      <c r="D31" s="29"/>
      <c r="E31" s="30"/>
    </row>
    <row r="32" spans="1:5" s="594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4" customFormat="1" ht="15.75" customHeight="1" x14ac:dyDescent="0.25">
      <c r="A33" s="72"/>
      <c r="B33" s="72"/>
      <c r="C33" s="72"/>
      <c r="D33" s="72"/>
      <c r="E33" s="72"/>
    </row>
    <row r="34" spans="1:5" s="594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/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594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594" customFormat="1" ht="15.75" customHeight="1" x14ac:dyDescent="0.25">
      <c r="A54" s="72"/>
      <c r="B54" s="72"/>
      <c r="C54" s="72"/>
      <c r="D54" s="72"/>
      <c r="E54" s="72"/>
    </row>
    <row r="55" spans="1:7" s="594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4"/>
      <c r="D58" s="43"/>
      <c r="F58" s="44"/>
      <c r="G58" s="44"/>
    </row>
    <row r="59" spans="1:7" ht="15" customHeight="1" x14ac:dyDescent="0.3">
      <c r="B59" s="662" t="s">
        <v>25</v>
      </c>
      <c r="C59" s="66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C42" sqref="C4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6" t="s">
        <v>30</v>
      </c>
      <c r="B11" s="667"/>
      <c r="C11" s="667"/>
      <c r="D11" s="667"/>
      <c r="E11" s="667"/>
      <c r="F11" s="668"/>
      <c r="G11" s="91"/>
    </row>
    <row r="12" spans="1:7" ht="16.5" customHeight="1" x14ac:dyDescent="0.3">
      <c r="A12" s="665" t="s">
        <v>31</v>
      </c>
      <c r="B12" s="665"/>
      <c r="C12" s="665"/>
      <c r="D12" s="665"/>
      <c r="E12" s="665"/>
      <c r="F12" s="665"/>
      <c r="G12" s="90"/>
    </row>
    <row r="14" spans="1:7" ht="16.5" customHeight="1" x14ac:dyDescent="0.3">
      <c r="A14" s="670" t="s">
        <v>32</v>
      </c>
      <c r="B14" s="670"/>
      <c r="C14" s="60" t="s">
        <v>5</v>
      </c>
    </row>
    <row r="15" spans="1:7" ht="16.5" customHeight="1" x14ac:dyDescent="0.3">
      <c r="A15" s="670" t="s">
        <v>33</v>
      </c>
      <c r="B15" s="670"/>
      <c r="C15" s="60" t="s">
        <v>7</v>
      </c>
    </row>
    <row r="16" spans="1:7" ht="16.5" customHeight="1" x14ac:dyDescent="0.3">
      <c r="A16" s="670" t="s">
        <v>34</v>
      </c>
      <c r="B16" s="670"/>
      <c r="C16" s="60" t="s">
        <v>9</v>
      </c>
    </row>
    <row r="17" spans="1:5" ht="16.5" customHeight="1" x14ac:dyDescent="0.3">
      <c r="A17" s="670" t="s">
        <v>35</v>
      </c>
      <c r="B17" s="670"/>
      <c r="C17" s="60" t="s">
        <v>11</v>
      </c>
    </row>
    <row r="18" spans="1:5" ht="16.5" customHeight="1" x14ac:dyDescent="0.3">
      <c r="A18" s="670" t="s">
        <v>36</v>
      </c>
      <c r="B18" s="670"/>
      <c r="C18" s="97" t="s">
        <v>12</v>
      </c>
    </row>
    <row r="19" spans="1:5" ht="16.5" customHeight="1" x14ac:dyDescent="0.3">
      <c r="A19" s="670" t="s">
        <v>37</v>
      </c>
      <c r="B19" s="67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65" t="s">
        <v>1</v>
      </c>
      <c r="B21" s="665"/>
      <c r="C21" s="59" t="s">
        <v>38</v>
      </c>
      <c r="D21" s="66"/>
    </row>
    <row r="22" spans="1:5" ht="15.75" customHeight="1" x14ac:dyDescent="0.3">
      <c r="A22" s="669"/>
      <c r="B22" s="669"/>
      <c r="C22" s="57"/>
      <c r="D22" s="669"/>
      <c r="E22" s="669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1074.3499999999999</v>
      </c>
      <c r="D24" s="87">
        <f t="shared" ref="D24:D43" si="0">(C24-$C$46)/$C$46</f>
        <v>-4.1750545640716612E-2</v>
      </c>
      <c r="E24" s="53"/>
    </row>
    <row r="25" spans="1:5" ht="15.75" customHeight="1" x14ac:dyDescent="0.3">
      <c r="C25" s="95">
        <v>1076.75</v>
      </c>
      <c r="D25" s="88">
        <f t="shared" si="0"/>
        <v>-3.96099036800312E-2</v>
      </c>
      <c r="E25" s="53"/>
    </row>
    <row r="26" spans="1:5" ht="15.75" customHeight="1" x14ac:dyDescent="0.3">
      <c r="C26" s="95">
        <v>1094.68</v>
      </c>
      <c r="D26" s="88">
        <f t="shared" si="0"/>
        <v>-2.3617524365411185E-2</v>
      </c>
      <c r="E26" s="53"/>
    </row>
    <row r="27" spans="1:5" ht="15.75" customHeight="1" x14ac:dyDescent="0.3">
      <c r="C27" s="95">
        <v>1124.24</v>
      </c>
      <c r="D27" s="88">
        <f t="shared" si="0"/>
        <v>2.7480491170297017E-3</v>
      </c>
      <c r="E27" s="53"/>
    </row>
    <row r="28" spans="1:5" ht="15.75" customHeight="1" x14ac:dyDescent="0.3">
      <c r="C28" s="95">
        <v>1183.23</v>
      </c>
      <c r="D28" s="88">
        <f t="shared" si="0"/>
        <v>5.5363244642374458E-2</v>
      </c>
      <c r="E28" s="53"/>
    </row>
    <row r="29" spans="1:5" ht="15.75" customHeight="1" x14ac:dyDescent="0.3">
      <c r="C29" s="95">
        <v>1137.0899999999999</v>
      </c>
      <c r="D29" s="88">
        <f t="shared" si="0"/>
        <v>1.4209402948198972E-2</v>
      </c>
      <c r="E29" s="53"/>
    </row>
    <row r="30" spans="1:5" ht="15.75" customHeight="1" x14ac:dyDescent="0.3">
      <c r="C30" s="95">
        <v>1078.05</v>
      </c>
      <c r="D30" s="88">
        <f t="shared" si="0"/>
        <v>-3.8450389284660026E-2</v>
      </c>
      <c r="E30" s="53"/>
    </row>
    <row r="31" spans="1:5" ht="15.75" customHeight="1" x14ac:dyDescent="0.3">
      <c r="C31" s="95">
        <v>1179.75</v>
      </c>
      <c r="D31" s="88">
        <f t="shared" si="0"/>
        <v>5.2259313799380723E-2</v>
      </c>
      <c r="E31" s="53"/>
    </row>
    <row r="32" spans="1:5" ht="15.75" customHeight="1" x14ac:dyDescent="0.3">
      <c r="C32" s="95">
        <v>1079.96</v>
      </c>
      <c r="D32" s="88">
        <f t="shared" si="0"/>
        <v>-3.6746795057614544E-2</v>
      </c>
      <c r="E32" s="53"/>
    </row>
    <row r="33" spans="1:7" ht="15.75" customHeight="1" x14ac:dyDescent="0.3">
      <c r="C33" s="95">
        <v>1123.03</v>
      </c>
      <c r="D33" s="88">
        <f t="shared" si="0"/>
        <v>1.6688087951841504E-3</v>
      </c>
      <c r="E33" s="53"/>
    </row>
    <row r="34" spans="1:7" ht="15.75" customHeight="1" x14ac:dyDescent="0.3">
      <c r="C34" s="95">
        <v>1129.0999999999999</v>
      </c>
      <c r="D34" s="88">
        <f t="shared" si="0"/>
        <v>7.0828490874173984E-3</v>
      </c>
      <c r="E34" s="53"/>
    </row>
    <row r="35" spans="1:7" ht="15.75" customHeight="1" x14ac:dyDescent="0.3">
      <c r="C35" s="95">
        <v>1198.3499999999999</v>
      </c>
      <c r="D35" s="88">
        <f t="shared" si="0"/>
        <v>6.8849288994691921E-2</v>
      </c>
      <c r="E35" s="53"/>
    </row>
    <row r="36" spans="1:7" ht="15.75" customHeight="1" x14ac:dyDescent="0.3">
      <c r="C36" s="95">
        <v>1074.1099999999999</v>
      </c>
      <c r="D36" s="88">
        <f t="shared" si="0"/>
        <v>-4.1964609836785148E-2</v>
      </c>
      <c r="E36" s="53"/>
    </row>
    <row r="37" spans="1:7" ht="15.75" customHeight="1" x14ac:dyDescent="0.3">
      <c r="C37" s="95">
        <v>1230.95</v>
      </c>
      <c r="D37" s="88">
        <f t="shared" si="0"/>
        <v>9.7926342294001059E-2</v>
      </c>
      <c r="E37" s="53"/>
    </row>
    <row r="38" spans="1:7" ht="15.75" customHeight="1" x14ac:dyDescent="0.3">
      <c r="C38" s="95">
        <v>1130.22</v>
      </c>
      <c r="D38" s="88">
        <f t="shared" si="0"/>
        <v>8.0818153357373225E-3</v>
      </c>
      <c r="E38" s="53"/>
    </row>
    <row r="39" spans="1:7" ht="15.75" customHeight="1" x14ac:dyDescent="0.3">
      <c r="C39" s="95">
        <v>1092.8699999999999</v>
      </c>
      <c r="D39" s="88">
        <f t="shared" si="0"/>
        <v>-2.5231925177428189E-2</v>
      </c>
      <c r="E39" s="53"/>
    </row>
    <row r="40" spans="1:7" ht="15.75" customHeight="1" x14ac:dyDescent="0.3">
      <c r="C40" s="95">
        <v>1127.93</v>
      </c>
      <c r="D40" s="88">
        <f t="shared" si="0"/>
        <v>6.0392861315834399E-3</v>
      </c>
      <c r="E40" s="53"/>
    </row>
    <row r="41" spans="1:7" ht="15.75" customHeight="1" x14ac:dyDescent="0.3">
      <c r="C41" s="95">
        <v>1052.43</v>
      </c>
      <c r="D41" s="88">
        <f t="shared" si="0"/>
        <v>-6.1301742214975787E-2</v>
      </c>
      <c r="E41" s="53"/>
    </row>
    <row r="42" spans="1:7" ht="15.75" customHeight="1" x14ac:dyDescent="0.3">
      <c r="C42" s="95">
        <v>1103.74</v>
      </c>
      <c r="D42" s="88">
        <f t="shared" si="0"/>
        <v>-1.5536600963824128E-2</v>
      </c>
      <c r="E42" s="53"/>
    </row>
    <row r="43" spans="1:7" ht="16.5" customHeight="1" x14ac:dyDescent="0.3">
      <c r="C43" s="96">
        <v>1132.3499999999999</v>
      </c>
      <c r="D43" s="89">
        <f t="shared" si="0"/>
        <v>9.9816350758454436E-3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22423.18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1121.1590000000001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663">
        <f>C46</f>
        <v>1121.1590000000001</v>
      </c>
      <c r="C49" s="93">
        <f>-IF(C46&lt;=80,10%,IF(C46&lt;250,7.5%,5%))</f>
        <v>-0.05</v>
      </c>
      <c r="D49" s="81">
        <f>IF(C46&lt;=80,C46*0.9,IF(C46&lt;250,C46*0.925,C46*0.95))</f>
        <v>1065.10105</v>
      </c>
    </row>
    <row r="50" spans="1:6" ht="17.25" customHeight="1" x14ac:dyDescent="0.3">
      <c r="B50" s="664"/>
      <c r="C50" s="94">
        <f>IF(C46&lt;=80, 10%, IF(C46&lt;250, 7.5%, 5%))</f>
        <v>0.05</v>
      </c>
      <c r="D50" s="81">
        <f>IF(C46&lt;=80, C46*1.1, IF(C46&lt;250, C46*1.075, C46*1.05))</f>
        <v>1177.2169500000002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6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6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6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6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6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6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6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6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6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5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5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5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5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5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5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5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5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4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37" workbookViewId="0">
      <selection activeCell="F23" sqref="F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  <col min="9" max="16384" width="9.140625" style="44"/>
  </cols>
  <sheetData>
    <row r="10" spans="1:7" ht="13.5" customHeight="1" thickBot="1" x14ac:dyDescent="0.35"/>
    <row r="11" spans="1:7" ht="13.5" customHeight="1" thickBot="1" x14ac:dyDescent="0.35">
      <c r="A11" s="666" t="s">
        <v>30</v>
      </c>
      <c r="B11" s="667"/>
      <c r="C11" s="667"/>
      <c r="D11" s="667"/>
      <c r="E11" s="667"/>
      <c r="F11" s="668"/>
      <c r="G11" s="91"/>
    </row>
    <row r="12" spans="1:7" ht="16.5" customHeight="1" x14ac:dyDescent="0.3">
      <c r="A12" s="665" t="s">
        <v>31</v>
      </c>
      <c r="B12" s="665"/>
      <c r="C12" s="665"/>
      <c r="D12" s="665"/>
      <c r="E12" s="665"/>
      <c r="F12" s="665"/>
      <c r="G12" s="90"/>
    </row>
    <row r="14" spans="1:7" ht="16.5" customHeight="1" x14ac:dyDescent="0.3">
      <c r="A14" s="670" t="s">
        <v>32</v>
      </c>
      <c r="B14" s="670"/>
      <c r="C14" s="72" t="s">
        <v>5</v>
      </c>
    </row>
    <row r="15" spans="1:7" ht="16.5" customHeight="1" x14ac:dyDescent="0.3">
      <c r="A15" s="670" t="s">
        <v>33</v>
      </c>
      <c r="B15" s="670"/>
      <c r="C15" s="72" t="s">
        <v>7</v>
      </c>
    </row>
    <row r="16" spans="1:7" ht="16.5" customHeight="1" x14ac:dyDescent="0.3">
      <c r="A16" s="670" t="s">
        <v>34</v>
      </c>
      <c r="B16" s="670"/>
      <c r="C16" s="72" t="s">
        <v>9</v>
      </c>
    </row>
    <row r="17" spans="1:5" ht="16.5" customHeight="1" x14ac:dyDescent="0.3">
      <c r="A17" s="670" t="s">
        <v>35</v>
      </c>
      <c r="B17" s="670"/>
      <c r="C17" s="72" t="s">
        <v>11</v>
      </c>
    </row>
    <row r="18" spans="1:5" ht="16.5" customHeight="1" x14ac:dyDescent="0.3">
      <c r="A18" s="670" t="s">
        <v>36</v>
      </c>
      <c r="B18" s="670"/>
      <c r="C18" s="97" t="s">
        <v>12</v>
      </c>
    </row>
    <row r="19" spans="1:5" ht="16.5" customHeight="1" x14ac:dyDescent="0.3">
      <c r="A19" s="670" t="s">
        <v>37</v>
      </c>
      <c r="B19" s="670"/>
      <c r="C19" s="97" t="e">
        <f>#REF!</f>
        <v>#REF!</v>
      </c>
    </row>
    <row r="20" spans="1:5" ht="16.5" customHeight="1" x14ac:dyDescent="0.3">
      <c r="A20" s="659"/>
      <c r="B20" s="659"/>
      <c r="C20" s="77"/>
    </row>
    <row r="21" spans="1:5" ht="16.5" customHeight="1" x14ac:dyDescent="0.3">
      <c r="A21" s="665" t="s">
        <v>1</v>
      </c>
      <c r="B21" s="665"/>
      <c r="C21" s="59" t="s">
        <v>38</v>
      </c>
      <c r="D21" s="66"/>
    </row>
    <row r="22" spans="1:5" ht="15.75" customHeight="1" thickBot="1" x14ac:dyDescent="0.35">
      <c r="A22" s="669"/>
      <c r="B22" s="669"/>
      <c r="C22" s="57"/>
      <c r="D22" s="669"/>
      <c r="E22" s="669"/>
    </row>
    <row r="23" spans="1:5" ht="33.75" customHeight="1" thickBot="1" x14ac:dyDescent="0.35">
      <c r="C23" s="86" t="s">
        <v>39</v>
      </c>
      <c r="D23" s="85" t="s">
        <v>40</v>
      </c>
      <c r="E23" s="524"/>
    </row>
    <row r="24" spans="1:5" ht="15.75" customHeight="1" x14ac:dyDescent="0.3">
      <c r="C24" s="95">
        <v>1092.06</v>
      </c>
      <c r="D24" s="87">
        <f t="shared" ref="D24:D43" si="0">(C24-$C$46)/$C$46</f>
        <v>-1.0603716011756296E-2</v>
      </c>
      <c r="E24" s="53"/>
    </row>
    <row r="25" spans="1:5" ht="15.75" customHeight="1" x14ac:dyDescent="0.3">
      <c r="C25" s="95">
        <v>1147.73</v>
      </c>
      <c r="D25" s="88">
        <f t="shared" si="0"/>
        <v>3.983279034286305E-2</v>
      </c>
      <c r="E25" s="53"/>
    </row>
    <row r="26" spans="1:5" ht="15.75" customHeight="1" x14ac:dyDescent="0.3">
      <c r="C26" s="95">
        <v>1160.57</v>
      </c>
      <c r="D26" s="88">
        <f t="shared" si="0"/>
        <v>5.1465711873190108E-2</v>
      </c>
      <c r="E26" s="53"/>
    </row>
    <row r="27" spans="1:5" ht="15.75" customHeight="1" x14ac:dyDescent="0.3">
      <c r="C27" s="95">
        <v>1090.02</v>
      </c>
      <c r="D27" s="88">
        <f t="shared" si="0"/>
        <v>-1.245193718947179E-2</v>
      </c>
      <c r="E27" s="53"/>
    </row>
    <row r="28" spans="1:5" ht="15.75" customHeight="1" x14ac:dyDescent="0.3">
      <c r="C28" s="95">
        <v>1069.77</v>
      </c>
      <c r="D28" s="88">
        <f t="shared" si="0"/>
        <v>-3.0798250350618554E-2</v>
      </c>
      <c r="E28" s="53"/>
    </row>
    <row r="29" spans="1:5" ht="15.75" customHeight="1" x14ac:dyDescent="0.3">
      <c r="C29" s="95">
        <v>1146.52</v>
      </c>
      <c r="D29" s="88">
        <f t="shared" si="0"/>
        <v>3.8736541507061156E-2</v>
      </c>
      <c r="E29" s="53"/>
    </row>
    <row r="30" spans="1:5" ht="15.75" customHeight="1" x14ac:dyDescent="0.3">
      <c r="C30" s="95">
        <v>1056.4000000000001</v>
      </c>
      <c r="D30" s="88">
        <f t="shared" si="0"/>
        <v>-4.2911346990842272E-2</v>
      </c>
      <c r="E30" s="53"/>
    </row>
    <row r="31" spans="1:5" ht="15.75" customHeight="1" x14ac:dyDescent="0.3">
      <c r="C31" s="95">
        <v>1057.01</v>
      </c>
      <c r="D31" s="88">
        <f t="shared" si="0"/>
        <v>-4.2358692619074483E-2</v>
      </c>
      <c r="E31" s="53"/>
    </row>
    <row r="32" spans="1:5" ht="15.75" customHeight="1" x14ac:dyDescent="0.3">
      <c r="C32" s="95">
        <v>1149.27</v>
      </c>
      <c r="D32" s="88">
        <f t="shared" si="0"/>
        <v>4.1228016133883556E-2</v>
      </c>
      <c r="E32" s="53"/>
    </row>
    <row r="33" spans="1:7" ht="15.75" customHeight="1" x14ac:dyDescent="0.3">
      <c r="C33" s="95">
        <v>1083.07</v>
      </c>
      <c r="D33" s="88">
        <f t="shared" si="0"/>
        <v>-1.8748573064532079E-2</v>
      </c>
      <c r="E33" s="53"/>
    </row>
    <row r="34" spans="1:7" ht="15.75" customHeight="1" x14ac:dyDescent="0.3">
      <c r="C34" s="95">
        <v>1057.71</v>
      </c>
      <c r="D34" s="88">
        <f t="shared" si="0"/>
        <v>-4.1724499077701468E-2</v>
      </c>
      <c r="E34" s="53"/>
    </row>
    <row r="35" spans="1:7" ht="15.75" customHeight="1" x14ac:dyDescent="0.3">
      <c r="C35" s="95">
        <v>1078.75</v>
      </c>
      <c r="D35" s="88">
        <f t="shared" si="0"/>
        <v>-2.2662453205576662E-2</v>
      </c>
      <c r="E35" s="53"/>
    </row>
    <row r="36" spans="1:7" ht="15.75" customHeight="1" x14ac:dyDescent="0.3">
      <c r="C36" s="95">
        <v>1096.19</v>
      </c>
      <c r="D36" s="88">
        <f t="shared" si="0"/>
        <v>-6.8619741176556472E-3</v>
      </c>
      <c r="E36" s="53"/>
    </row>
    <row r="37" spans="1:7" ht="15.75" customHeight="1" x14ac:dyDescent="0.3">
      <c r="C37" s="95">
        <v>1140.07</v>
      </c>
      <c r="D37" s="88">
        <f t="shared" si="0"/>
        <v>3.2892901018695853E-2</v>
      </c>
      <c r="E37" s="53"/>
    </row>
    <row r="38" spans="1:7" ht="15.75" customHeight="1" x14ac:dyDescent="0.3">
      <c r="C38" s="95">
        <v>1133.23</v>
      </c>
      <c r="D38" s="88">
        <f t="shared" si="0"/>
        <v>2.6695924128708574E-2</v>
      </c>
      <c r="E38" s="53"/>
    </row>
    <row r="39" spans="1:7" ht="15.75" customHeight="1" x14ac:dyDescent="0.3">
      <c r="C39" s="95">
        <v>1098.0899999999999</v>
      </c>
      <c r="D39" s="88">
        <f t="shared" si="0"/>
        <v>-5.1405916482148402E-3</v>
      </c>
      <c r="E39" s="53"/>
    </row>
    <row r="40" spans="1:7" ht="15.75" customHeight="1" x14ac:dyDescent="0.3">
      <c r="C40" s="95">
        <v>1104.06</v>
      </c>
      <c r="D40" s="88">
        <f t="shared" si="0"/>
        <v>2.6817326892326774E-4</v>
      </c>
      <c r="E40" s="53"/>
    </row>
    <row r="41" spans="1:7" ht="15.75" customHeight="1" x14ac:dyDescent="0.3">
      <c r="C41" s="95">
        <v>1086.5</v>
      </c>
      <c r="D41" s="88">
        <f t="shared" si="0"/>
        <v>-1.5641024711804445E-2</v>
      </c>
      <c r="E41" s="53"/>
    </row>
    <row r="42" spans="1:7" ht="15.75" customHeight="1" x14ac:dyDescent="0.3">
      <c r="C42" s="95">
        <v>1121.3</v>
      </c>
      <c r="D42" s="88">
        <f t="shared" si="0"/>
        <v>1.5887454202166251E-2</v>
      </c>
      <c r="E42" s="53"/>
    </row>
    <row r="43" spans="1:7" ht="16.5" customHeight="1" thickBot="1" x14ac:dyDescent="0.35">
      <c r="C43" s="96">
        <v>1106.96</v>
      </c>
      <c r="D43" s="89">
        <f t="shared" si="0"/>
        <v>2.895546511754245E-3</v>
      </c>
      <c r="E43" s="53"/>
    </row>
    <row r="44" spans="1:7" ht="16.5" customHeight="1" thickBot="1" x14ac:dyDescent="0.35">
      <c r="C44" s="54"/>
      <c r="D44" s="53"/>
      <c r="E44" s="55"/>
    </row>
    <row r="45" spans="1:7" ht="16.5" customHeight="1" thickBot="1" x14ac:dyDescent="0.35">
      <c r="B45" s="82" t="s">
        <v>41</v>
      </c>
      <c r="C45" s="83">
        <f>SUM(C24:C44)</f>
        <v>22075.280000000002</v>
      </c>
      <c r="D45" s="78"/>
      <c r="E45" s="54"/>
    </row>
    <row r="46" spans="1:7" ht="17.25" customHeight="1" thickBot="1" x14ac:dyDescent="0.35">
      <c r="B46" s="82" t="s">
        <v>42</v>
      </c>
      <c r="C46" s="84">
        <f>AVERAGE(C24:C44)</f>
        <v>1103.7640000000001</v>
      </c>
      <c r="E46" s="56"/>
    </row>
    <row r="47" spans="1:7" ht="17.25" customHeight="1" thickBot="1" x14ac:dyDescent="0.35">
      <c r="A47" s="72"/>
      <c r="B47" s="79"/>
      <c r="D47" s="58"/>
      <c r="E47" s="56"/>
    </row>
    <row r="48" spans="1:7" ht="33.75" customHeight="1" thickBot="1" x14ac:dyDescent="0.35">
      <c r="B48" s="92" t="s">
        <v>42</v>
      </c>
      <c r="C48" s="85" t="s">
        <v>43</v>
      </c>
      <c r="D48" s="80"/>
      <c r="G48" s="58"/>
    </row>
    <row r="49" spans="1:6" ht="17.25" customHeight="1" thickBot="1" x14ac:dyDescent="0.35">
      <c r="B49" s="663">
        <f>C46</f>
        <v>1103.7640000000001</v>
      </c>
      <c r="C49" s="93">
        <f>-IF(C46&lt;=80,10%,IF(C46&lt;250,7.5%,5%))</f>
        <v>-0.05</v>
      </c>
      <c r="D49" s="81">
        <f>IF(C46&lt;=80,C46*0.9,IF(C46&lt;250,C46*0.925,C46*0.95))</f>
        <v>1048.5758000000001</v>
      </c>
    </row>
    <row r="50" spans="1:6" ht="17.25" customHeight="1" thickBot="1" x14ac:dyDescent="0.35">
      <c r="B50" s="664"/>
      <c r="C50" s="94">
        <f>IF(C46&lt;=80, 10%, IF(C46&lt;250, 7.5%, 5%))</f>
        <v>0.05</v>
      </c>
      <c r="D50" s="81">
        <f>IF(C46&lt;=80, C46*1.1, IF(C46&lt;250, C46*1.075, C46*1.05))</f>
        <v>1158.9522000000002</v>
      </c>
    </row>
    <row r="51" spans="1:6" ht="16.5" customHeight="1" thickBot="1" x14ac:dyDescent="0.35">
      <c r="A51" s="63"/>
      <c r="B51" s="64"/>
      <c r="C51" s="72"/>
      <c r="D51" s="65"/>
      <c r="E51" s="72"/>
      <c r="F51" s="66"/>
    </row>
    <row r="52" spans="1:6" ht="16.5" customHeight="1" x14ac:dyDescent="0.3">
      <c r="A52" s="72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659" t="s">
        <v>28</v>
      </c>
      <c r="B53" s="73"/>
      <c r="C53" s="72"/>
      <c r="D53" s="73"/>
      <c r="E53" s="72"/>
      <c r="F53" s="73"/>
    </row>
    <row r="54" spans="1:6" ht="34.5" customHeight="1" x14ac:dyDescent="0.3">
      <c r="A54" s="659" t="s">
        <v>29</v>
      </c>
      <c r="B54" s="74"/>
      <c r="C54" s="75"/>
      <c r="D54" s="74"/>
      <c r="E54" s="72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5" workbookViewId="0">
      <selection activeCell="G76" sqref="G7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1" t="s">
        <v>44</v>
      </c>
      <c r="B1" s="671"/>
      <c r="C1" s="671"/>
      <c r="D1" s="671"/>
      <c r="E1" s="671"/>
      <c r="F1" s="671"/>
      <c r="G1" s="671"/>
      <c r="H1" s="671"/>
      <c r="I1" s="671"/>
    </row>
    <row r="2" spans="1:9" ht="18.75" customHeight="1" x14ac:dyDescent="0.25">
      <c r="A2" s="671"/>
      <c r="B2" s="671"/>
      <c r="C2" s="671"/>
      <c r="D2" s="671"/>
      <c r="E2" s="671"/>
      <c r="F2" s="671"/>
      <c r="G2" s="671"/>
      <c r="H2" s="671"/>
      <c r="I2" s="671"/>
    </row>
    <row r="3" spans="1:9" ht="18.75" customHeight="1" x14ac:dyDescent="0.25">
      <c r="A3" s="671"/>
      <c r="B3" s="671"/>
      <c r="C3" s="671"/>
      <c r="D3" s="671"/>
      <c r="E3" s="671"/>
      <c r="F3" s="671"/>
      <c r="G3" s="671"/>
      <c r="H3" s="671"/>
      <c r="I3" s="671"/>
    </row>
    <row r="4" spans="1:9" ht="18.75" customHeight="1" x14ac:dyDescent="0.25">
      <c r="A4" s="671"/>
      <c r="B4" s="671"/>
      <c r="C4" s="671"/>
      <c r="D4" s="671"/>
      <c r="E4" s="671"/>
      <c r="F4" s="671"/>
      <c r="G4" s="671"/>
      <c r="H4" s="671"/>
      <c r="I4" s="671"/>
    </row>
    <row r="5" spans="1:9" ht="18.75" customHeight="1" x14ac:dyDescent="0.25">
      <c r="A5" s="671"/>
      <c r="B5" s="671"/>
      <c r="C5" s="671"/>
      <c r="D5" s="671"/>
      <c r="E5" s="671"/>
      <c r="F5" s="671"/>
      <c r="G5" s="671"/>
      <c r="H5" s="671"/>
      <c r="I5" s="671"/>
    </row>
    <row r="6" spans="1:9" ht="18.75" customHeight="1" x14ac:dyDescent="0.25">
      <c r="A6" s="671"/>
      <c r="B6" s="671"/>
      <c r="C6" s="671"/>
      <c r="D6" s="671"/>
      <c r="E6" s="671"/>
      <c r="F6" s="671"/>
      <c r="G6" s="671"/>
      <c r="H6" s="671"/>
      <c r="I6" s="671"/>
    </row>
    <row r="7" spans="1:9" ht="18.75" customHeight="1" x14ac:dyDescent="0.25">
      <c r="A7" s="671"/>
      <c r="B7" s="671"/>
      <c r="C7" s="671"/>
      <c r="D7" s="671"/>
      <c r="E7" s="671"/>
      <c r="F7" s="671"/>
      <c r="G7" s="671"/>
      <c r="H7" s="671"/>
      <c r="I7" s="671"/>
    </row>
    <row r="8" spans="1:9" x14ac:dyDescent="0.25">
      <c r="A8" s="672" t="s">
        <v>45</v>
      </c>
      <c r="B8" s="672"/>
      <c r="C8" s="672"/>
      <c r="D8" s="672"/>
      <c r="E8" s="672"/>
      <c r="F8" s="672"/>
      <c r="G8" s="672"/>
      <c r="H8" s="672"/>
      <c r="I8" s="672"/>
    </row>
    <row r="9" spans="1:9" x14ac:dyDescent="0.25">
      <c r="A9" s="672"/>
      <c r="B9" s="672"/>
      <c r="C9" s="672"/>
      <c r="D9" s="672"/>
      <c r="E9" s="672"/>
      <c r="F9" s="672"/>
      <c r="G9" s="672"/>
      <c r="H9" s="672"/>
      <c r="I9" s="672"/>
    </row>
    <row r="10" spans="1:9" x14ac:dyDescent="0.25">
      <c r="A10" s="672"/>
      <c r="B10" s="672"/>
      <c r="C10" s="672"/>
      <c r="D10" s="672"/>
      <c r="E10" s="672"/>
      <c r="F10" s="672"/>
      <c r="G10" s="672"/>
      <c r="H10" s="672"/>
      <c r="I10" s="672"/>
    </row>
    <row r="11" spans="1:9" x14ac:dyDescent="0.25">
      <c r="A11" s="672"/>
      <c r="B11" s="672"/>
      <c r="C11" s="672"/>
      <c r="D11" s="672"/>
      <c r="E11" s="672"/>
      <c r="F11" s="672"/>
      <c r="G11" s="672"/>
      <c r="H11" s="672"/>
      <c r="I11" s="672"/>
    </row>
    <row r="12" spans="1:9" x14ac:dyDescent="0.25">
      <c r="A12" s="672"/>
      <c r="B12" s="672"/>
      <c r="C12" s="672"/>
      <c r="D12" s="672"/>
      <c r="E12" s="672"/>
      <c r="F12" s="672"/>
      <c r="G12" s="672"/>
      <c r="H12" s="672"/>
      <c r="I12" s="672"/>
    </row>
    <row r="13" spans="1:9" x14ac:dyDescent="0.25">
      <c r="A13" s="672"/>
      <c r="B13" s="672"/>
      <c r="C13" s="672"/>
      <c r="D13" s="672"/>
      <c r="E13" s="672"/>
      <c r="F13" s="672"/>
      <c r="G13" s="672"/>
      <c r="H13" s="672"/>
      <c r="I13" s="672"/>
    </row>
    <row r="14" spans="1:9" x14ac:dyDescent="0.25">
      <c r="A14" s="672"/>
      <c r="B14" s="672"/>
      <c r="C14" s="672"/>
      <c r="D14" s="672"/>
      <c r="E14" s="672"/>
      <c r="F14" s="672"/>
      <c r="G14" s="672"/>
      <c r="H14" s="672"/>
      <c r="I14" s="672"/>
    </row>
    <row r="15" spans="1:9" ht="19.5" customHeight="1" x14ac:dyDescent="0.3">
      <c r="A15" s="98"/>
    </row>
    <row r="16" spans="1:9" ht="19.5" customHeight="1" x14ac:dyDescent="0.3">
      <c r="A16" s="704" t="s">
        <v>30</v>
      </c>
      <c r="B16" s="705"/>
      <c r="C16" s="705"/>
      <c r="D16" s="705"/>
      <c r="E16" s="705"/>
      <c r="F16" s="705"/>
      <c r="G16" s="705"/>
      <c r="H16" s="706"/>
    </row>
    <row r="17" spans="1:14" ht="20.25" customHeight="1" x14ac:dyDescent="0.25">
      <c r="A17" s="707" t="s">
        <v>46</v>
      </c>
      <c r="B17" s="707"/>
      <c r="C17" s="707"/>
      <c r="D17" s="707"/>
      <c r="E17" s="707"/>
      <c r="F17" s="707"/>
      <c r="G17" s="707"/>
      <c r="H17" s="707"/>
    </row>
    <row r="18" spans="1:14" ht="26.25" customHeight="1" x14ac:dyDescent="0.4">
      <c r="A18" s="100" t="s">
        <v>32</v>
      </c>
      <c r="B18" s="703" t="s">
        <v>5</v>
      </c>
      <c r="C18" s="703"/>
      <c r="D18" s="246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708" t="s">
        <v>133</v>
      </c>
      <c r="C20" s="708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708" t="s">
        <v>11</v>
      </c>
      <c r="C21" s="708"/>
      <c r="D21" s="708"/>
      <c r="E21" s="708"/>
      <c r="F21" s="708"/>
      <c r="G21" s="708"/>
      <c r="H21" s="708"/>
      <c r="I21" s="104"/>
    </row>
    <row r="22" spans="1:14" ht="26.25" customHeight="1" x14ac:dyDescent="0.4">
      <c r="A22" s="100" t="s">
        <v>36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703" t="s">
        <v>133</v>
      </c>
      <c r="C26" s="703"/>
    </row>
    <row r="27" spans="1:14" ht="26.25" customHeight="1" x14ac:dyDescent="0.4">
      <c r="A27" s="109" t="s">
        <v>47</v>
      </c>
      <c r="B27" s="709" t="s">
        <v>134</v>
      </c>
      <c r="C27" s="709"/>
    </row>
    <row r="28" spans="1:14" ht="27" customHeight="1" x14ac:dyDescent="0.4">
      <c r="A28" s="109" t="s">
        <v>6</v>
      </c>
      <c r="B28" s="110">
        <v>99.4</v>
      </c>
    </row>
    <row r="29" spans="1:14" s="14" customFormat="1" ht="27" customHeight="1" x14ac:dyDescent="0.4">
      <c r="A29" s="109" t="s">
        <v>48</v>
      </c>
      <c r="B29" s="111">
        <v>0</v>
      </c>
      <c r="C29" s="679" t="s">
        <v>49</v>
      </c>
      <c r="D29" s="680"/>
      <c r="E29" s="680"/>
      <c r="F29" s="680"/>
      <c r="G29" s="681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682" t="s">
        <v>52</v>
      </c>
      <c r="D31" s="683"/>
      <c r="E31" s="683"/>
      <c r="F31" s="683"/>
      <c r="G31" s="683"/>
      <c r="H31" s="684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682" t="s">
        <v>54</v>
      </c>
      <c r="D32" s="683"/>
      <c r="E32" s="683"/>
      <c r="F32" s="683"/>
      <c r="G32" s="683"/>
      <c r="H32" s="68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100</v>
      </c>
      <c r="C36" s="99"/>
      <c r="D36" s="685" t="s">
        <v>58</v>
      </c>
      <c r="E36" s="710"/>
      <c r="F36" s="685" t="s">
        <v>59</v>
      </c>
      <c r="G36" s="68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14761037</v>
      </c>
      <c r="E38" s="133">
        <f>IF(ISBLANK(D38),"-",$D$48/$D$45*D38)</f>
        <v>14473818.544797048</v>
      </c>
      <c r="F38" s="132">
        <v>15755983</v>
      </c>
      <c r="G38" s="134">
        <f>IF(ISBLANK(F38),"-",$D$48/$F$45*F38)</f>
        <v>14800270.342878936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14715500</v>
      </c>
      <c r="E39" s="138">
        <f>IF(ISBLANK(D39),"-",$D$48/$D$45*D39)</f>
        <v>14429167.598181684</v>
      </c>
      <c r="F39" s="137">
        <v>15555913</v>
      </c>
      <c r="G39" s="139">
        <f>IF(ISBLANK(F39),"-",$D$48/$F$45*F39)</f>
        <v>14612336.014217895</v>
      </c>
      <c r="I39" s="687">
        <f>ABS((F43/D43*D42)-F42)/D42</f>
        <v>1.7237892780157433E-2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14699872</v>
      </c>
      <c r="E40" s="138">
        <f>IF(ISBLANK(D40),"-",$D$48/$D$45*D40)</f>
        <v>14413843.68589706</v>
      </c>
      <c r="F40" s="137">
        <v>15563583</v>
      </c>
      <c r="G40" s="139">
        <f>IF(ISBLANK(F40),"-",$D$48/$F$45*F40)</f>
        <v>14619540.774056101</v>
      </c>
      <c r="I40" s="687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14725469.666666666</v>
      </c>
      <c r="E42" s="148">
        <f>AVERAGE(E38:E41)</f>
        <v>14438943.276291931</v>
      </c>
      <c r="F42" s="147">
        <f>AVERAGE(F38:F41)</f>
        <v>15625159.666666666</v>
      </c>
      <c r="G42" s="149">
        <f>AVERAGE(G38:G41)</f>
        <v>14677382.377050975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10.26</v>
      </c>
      <c r="E43" s="140"/>
      <c r="F43" s="152">
        <v>10.71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10.26</v>
      </c>
      <c r="E44" s="155"/>
      <c r="F44" s="154">
        <f>F43*$B$34</f>
        <v>10.71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10.19844</v>
      </c>
      <c r="E45" s="158"/>
      <c r="F45" s="157">
        <f>F44*$B$30/100</f>
        <v>10.64574</v>
      </c>
      <c r="H45" s="150"/>
    </row>
    <row r="46" spans="1:14" ht="19.5" customHeight="1" x14ac:dyDescent="0.3">
      <c r="A46" s="673" t="s">
        <v>77</v>
      </c>
      <c r="B46" s="674"/>
      <c r="C46" s="153" t="s">
        <v>78</v>
      </c>
      <c r="D46" s="159">
        <f>D45/$B$45</f>
        <v>0.1019844</v>
      </c>
      <c r="E46" s="160"/>
      <c r="F46" s="161">
        <f>F45/$B$45</f>
        <v>0.10645739999999999</v>
      </c>
      <c r="H46" s="150"/>
    </row>
    <row r="47" spans="1:14" ht="27" customHeight="1" x14ac:dyDescent="0.4">
      <c r="A47" s="675"/>
      <c r="B47" s="676"/>
      <c r="C47" s="162" t="s">
        <v>79</v>
      </c>
      <c r="D47" s="163">
        <v>0.1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10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14558162.826671457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1.0183728949783012E-2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tablet contains Acetylsalicylic Acid B.P 600 mg, Paracetamol B.P 300 mg, Caffeine Anhdrous B.P 50 MG</v>
      </c>
    </row>
    <row r="56" spans="1:12" ht="26.25" customHeight="1" x14ac:dyDescent="0.4">
      <c r="A56" s="177" t="s">
        <v>86</v>
      </c>
      <c r="B56" s="178">
        <v>300</v>
      </c>
      <c r="C56" s="99" t="str">
        <f>B20</f>
        <v>paracetamol</v>
      </c>
      <c r="H56" s="179"/>
    </row>
    <row r="57" spans="1:12" ht="18.75" x14ac:dyDescent="0.3">
      <c r="A57" s="176" t="s">
        <v>87</v>
      </c>
      <c r="B57" s="247">
        <f>Uniformity!C46</f>
        <v>1121.1590000000001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50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</v>
      </c>
      <c r="C60" s="690" t="s">
        <v>93</v>
      </c>
      <c r="D60" s="693">
        <v>908.28</v>
      </c>
      <c r="E60" s="182">
        <v>1</v>
      </c>
      <c r="F60" s="183">
        <v>14717967</v>
      </c>
      <c r="G60" s="248">
        <f>IF(ISBLANK(F60),"-",(F60/$D$50*$D$47*$B$68)*($B$57/$D$60))</f>
        <v>311.98141054295047</v>
      </c>
      <c r="H60" s="266">
        <f t="shared" ref="H60:H71" si="0">IF(ISBLANK(F60),"-",(G60/$B$56)*100)</f>
        <v>103.99380351431682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691"/>
      <c r="D61" s="694"/>
      <c r="E61" s="184">
        <v>2</v>
      </c>
      <c r="F61" s="137">
        <v>14506342</v>
      </c>
      <c r="G61" s="249">
        <f>IF(ISBLANK(F61),"-",(F61/$D$50*$D$47*$B$68)*($B$57/$D$60))</f>
        <v>307.49552835513526</v>
      </c>
      <c r="H61" s="267">
        <f t="shared" si="0"/>
        <v>102.49850945171175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691"/>
      <c r="D62" s="694"/>
      <c r="E62" s="184">
        <v>3</v>
      </c>
      <c r="F62" s="185">
        <v>14614912</v>
      </c>
      <c r="G62" s="249">
        <f>IF(ISBLANK(F62),"-",(F62/$D$50*$D$47*$B$68)*($B$57/$D$60))</f>
        <v>309.79692105037969</v>
      </c>
      <c r="H62" s="267">
        <f t="shared" si="0"/>
        <v>103.26564035012657</v>
      </c>
      <c r="L62" s="112"/>
    </row>
    <row r="63" spans="1:12" ht="27" customHeight="1" x14ac:dyDescent="0.4">
      <c r="A63" s="124" t="s">
        <v>96</v>
      </c>
      <c r="B63" s="125">
        <v>1</v>
      </c>
      <c r="C63" s="700"/>
      <c r="D63" s="69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690" t="s">
        <v>98</v>
      </c>
      <c r="D64" s="693">
        <v>935.36</v>
      </c>
      <c r="E64" s="182">
        <v>1</v>
      </c>
      <c r="F64" s="183">
        <v>14576526</v>
      </c>
      <c r="G64" s="248">
        <f>IF(ISBLANK(F64),"-",(F64/$D$50*$D$47*$B$68)*($B$57/$D$64))</f>
        <v>300.03773733519375</v>
      </c>
      <c r="H64" s="266">
        <f t="shared" si="0"/>
        <v>100.01257911173124</v>
      </c>
    </row>
    <row r="65" spans="1:8" ht="26.25" customHeight="1" x14ac:dyDescent="0.4">
      <c r="A65" s="124" t="s">
        <v>99</v>
      </c>
      <c r="B65" s="125">
        <v>1</v>
      </c>
      <c r="C65" s="691"/>
      <c r="D65" s="694"/>
      <c r="E65" s="184">
        <v>2</v>
      </c>
      <c r="F65" s="137">
        <v>14782295</v>
      </c>
      <c r="G65" s="249">
        <f>IF(ISBLANK(F65),"-",(F65/$D$50*$D$47*$B$68)*($B$57/$D$64))</f>
        <v>304.27320915980584</v>
      </c>
      <c r="H65" s="267">
        <f t="shared" si="0"/>
        <v>101.42440305326861</v>
      </c>
    </row>
    <row r="66" spans="1:8" ht="26.25" customHeight="1" x14ac:dyDescent="0.4">
      <c r="A66" s="124" t="s">
        <v>100</v>
      </c>
      <c r="B66" s="125">
        <v>1</v>
      </c>
      <c r="C66" s="691"/>
      <c r="D66" s="694"/>
      <c r="E66" s="184">
        <v>3</v>
      </c>
      <c r="F66" s="137">
        <v>14664057</v>
      </c>
      <c r="G66" s="249">
        <f>IF(ISBLANK(F66),"-",(F66/$D$50*$D$47*$B$68)*($B$57/$D$64))</f>
        <v>301.83944256912167</v>
      </c>
      <c r="H66" s="267">
        <f t="shared" si="0"/>
        <v>100.61314752304055</v>
      </c>
    </row>
    <row r="67" spans="1:8" ht="27" customHeight="1" x14ac:dyDescent="0.4">
      <c r="A67" s="124" t="s">
        <v>101</v>
      </c>
      <c r="B67" s="125">
        <v>1</v>
      </c>
      <c r="C67" s="700"/>
      <c r="D67" s="69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102</v>
      </c>
      <c r="B68" s="188">
        <f>(B67/B66)*(B65/B64)*(B63/B62)*(B61/B60)*B59</f>
        <v>2500</v>
      </c>
      <c r="C68" s="690" t="s">
        <v>103</v>
      </c>
      <c r="D68" s="693">
        <v>929.18</v>
      </c>
      <c r="E68" s="182">
        <v>1</v>
      </c>
      <c r="F68" s="183">
        <v>15021410</v>
      </c>
      <c r="G68" s="248">
        <f>IF(ISBLANK(F68),"-",(F68/$D$50*$D$47*$B$68)*($B$57/$D$68))</f>
        <v>311.25152681339739</v>
      </c>
      <c r="H68" s="267">
        <f t="shared" si="0"/>
        <v>103.75050893779914</v>
      </c>
    </row>
    <row r="69" spans="1:8" ht="27" customHeight="1" x14ac:dyDescent="0.4">
      <c r="A69" s="172" t="s">
        <v>104</v>
      </c>
      <c r="B69" s="189">
        <f>(D47*B68)/B56*B57</f>
        <v>934.29916666666679</v>
      </c>
      <c r="C69" s="691"/>
      <c r="D69" s="694"/>
      <c r="E69" s="184">
        <v>2</v>
      </c>
      <c r="F69" s="137">
        <v>14948389</v>
      </c>
      <c r="G69" s="249">
        <f>IF(ISBLANK(F69),"-",(F69/$D$50*$D$47*$B$68)*($B$57/$D$68))</f>
        <v>309.73849323403027</v>
      </c>
      <c r="H69" s="267">
        <f t="shared" si="0"/>
        <v>103.24616441134341</v>
      </c>
    </row>
    <row r="70" spans="1:8" ht="26.25" customHeight="1" x14ac:dyDescent="0.4">
      <c r="A70" s="696" t="s">
        <v>77</v>
      </c>
      <c r="B70" s="697"/>
      <c r="C70" s="691"/>
      <c r="D70" s="694"/>
      <c r="E70" s="184">
        <v>3</v>
      </c>
      <c r="F70" s="137">
        <v>14945735</v>
      </c>
      <c r="G70" s="249">
        <f>IF(ISBLANK(F70),"-",(F70/$D$50*$D$47*$B$68)*($B$57/$D$68))</f>
        <v>309.68350095619729</v>
      </c>
      <c r="H70" s="267">
        <f t="shared" si="0"/>
        <v>103.22783365206575</v>
      </c>
    </row>
    <row r="71" spans="1:8" ht="27" customHeight="1" x14ac:dyDescent="0.4">
      <c r="A71" s="698"/>
      <c r="B71" s="699"/>
      <c r="C71" s="692"/>
      <c r="D71" s="69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70</v>
      </c>
      <c r="G72" s="254">
        <f>AVERAGE(G60:G71)</f>
        <v>307.34419666846793</v>
      </c>
      <c r="H72" s="269">
        <f>AVERAGE(H60:H71)</f>
        <v>102.448065556156</v>
      </c>
    </row>
    <row r="73" spans="1:8" ht="26.25" customHeight="1" x14ac:dyDescent="0.4">
      <c r="C73" s="190"/>
      <c r="D73" s="190"/>
      <c r="E73" s="190"/>
      <c r="F73" s="193" t="s">
        <v>83</v>
      </c>
      <c r="G73" s="253">
        <f>STDEV(G60:G71)/G72</f>
        <v>1.3953530463376978E-2</v>
      </c>
      <c r="H73" s="253">
        <f>STDEV(H60:H71)/H72</f>
        <v>1.3953530463377014E-2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3">
      <c r="A76" s="108" t="s">
        <v>105</v>
      </c>
      <c r="B76" s="197" t="s">
        <v>106</v>
      </c>
      <c r="C76" s="677" t="str">
        <f>B26</f>
        <v>paracetamol</v>
      </c>
      <c r="D76" s="677"/>
      <c r="E76" s="198" t="s">
        <v>107</v>
      </c>
      <c r="F76" s="198"/>
      <c r="G76" s="660">
        <f>H72</f>
        <v>102.448065556156</v>
      </c>
      <c r="H76" s="200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711" t="str">
        <f>B26</f>
        <v>paracetamol</v>
      </c>
      <c r="C79" s="711"/>
    </row>
    <row r="80" spans="1:8" ht="26.25" customHeight="1" x14ac:dyDescent="0.4">
      <c r="A80" s="109" t="s">
        <v>47</v>
      </c>
      <c r="B80" s="711" t="str">
        <f>B27</f>
        <v>P49 2</v>
      </c>
      <c r="C80" s="711"/>
    </row>
    <row r="81" spans="1:12" ht="27" customHeight="1" x14ac:dyDescent="0.4">
      <c r="A81" s="109" t="s">
        <v>6</v>
      </c>
      <c r="B81" s="201">
        <f>B28</f>
        <v>99.4</v>
      </c>
    </row>
    <row r="82" spans="1:12" s="14" customFormat="1" ht="27" customHeight="1" x14ac:dyDescent="0.4">
      <c r="A82" s="109" t="s">
        <v>48</v>
      </c>
      <c r="B82" s="111">
        <v>0</v>
      </c>
      <c r="C82" s="679" t="s">
        <v>49</v>
      </c>
      <c r="D82" s="680"/>
      <c r="E82" s="680"/>
      <c r="F82" s="680"/>
      <c r="G82" s="681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682" t="s">
        <v>110</v>
      </c>
      <c r="D84" s="683"/>
      <c r="E84" s="683"/>
      <c r="F84" s="683"/>
      <c r="G84" s="683"/>
      <c r="H84" s="684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682" t="s">
        <v>111</v>
      </c>
      <c r="D85" s="683"/>
      <c r="E85" s="683"/>
      <c r="F85" s="683"/>
      <c r="G85" s="683"/>
      <c r="H85" s="68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100</v>
      </c>
      <c r="D89" s="202" t="s">
        <v>58</v>
      </c>
      <c r="E89" s="203"/>
      <c r="F89" s="685" t="s">
        <v>59</v>
      </c>
      <c r="G89" s="686"/>
    </row>
    <row r="90" spans="1:12" ht="27" customHeight="1" x14ac:dyDescent="0.4">
      <c r="A90" s="124" t="s">
        <v>60</v>
      </c>
      <c r="B90" s="125">
        <v>1</v>
      </c>
      <c r="C90" s="204" t="s">
        <v>61</v>
      </c>
      <c r="D90" s="127" t="s">
        <v>62</v>
      </c>
      <c r="E90" s="128" t="s">
        <v>63</v>
      </c>
      <c r="F90" s="127" t="s">
        <v>62</v>
      </c>
      <c r="G90" s="205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06">
        <v>1</v>
      </c>
      <c r="D91" s="506">
        <v>14761037</v>
      </c>
      <c r="E91" s="133">
        <f>IF(ISBLANK(D91),"-",$D$101/$D$98*D91)</f>
        <v>19298424.726396065</v>
      </c>
      <c r="F91" s="506">
        <v>15755983</v>
      </c>
      <c r="G91" s="134">
        <f>IF(ISBLANK(F91),"-",$D$101/$F$98*F91)</f>
        <v>19733693.790505249</v>
      </c>
      <c r="I91" s="135"/>
    </row>
    <row r="92" spans="1:12" ht="26.25" customHeight="1" x14ac:dyDescent="0.4">
      <c r="A92" s="124" t="s">
        <v>66</v>
      </c>
      <c r="B92" s="125">
        <v>1</v>
      </c>
      <c r="C92" s="191">
        <v>2</v>
      </c>
      <c r="D92" s="511">
        <v>14715500</v>
      </c>
      <c r="E92" s="138">
        <f>IF(ISBLANK(D92),"-",$D$101/$D$98*D92)</f>
        <v>19238890.13090891</v>
      </c>
      <c r="F92" s="511">
        <v>15555913</v>
      </c>
      <c r="G92" s="139">
        <f>IF(ISBLANK(F92),"-",$D$101/$F$98*F92)</f>
        <v>19483114.685623862</v>
      </c>
      <c r="I92" s="687">
        <f>ABS((F96/D96*D95)-F95)/D95</f>
        <v>1.7237892780157433E-2</v>
      </c>
    </row>
    <row r="93" spans="1:12" ht="26.25" customHeight="1" x14ac:dyDescent="0.4">
      <c r="A93" s="124" t="s">
        <v>67</v>
      </c>
      <c r="B93" s="125">
        <v>1</v>
      </c>
      <c r="C93" s="191">
        <v>3</v>
      </c>
      <c r="D93" s="511">
        <v>14699872</v>
      </c>
      <c r="E93" s="138">
        <f>IF(ISBLANK(D93),"-",$D$101/$D$98*D93)</f>
        <v>19218458.247862745</v>
      </c>
      <c r="F93" s="511">
        <v>15563583</v>
      </c>
      <c r="G93" s="139">
        <f>IF(ISBLANK(F93),"-",$D$101/$F$98*F93)</f>
        <v>19492721.032074805</v>
      </c>
      <c r="I93" s="687"/>
    </row>
    <row r="94" spans="1:12" ht="27" customHeight="1" x14ac:dyDescent="0.4">
      <c r="A94" s="124" t="s">
        <v>68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09" t="s">
        <v>70</v>
      </c>
      <c r="D95" s="210">
        <f>AVERAGE(D91:D94)</f>
        <v>14725469.666666666</v>
      </c>
      <c r="E95" s="148">
        <f>AVERAGE(E91:E94)</f>
        <v>19251924.368389238</v>
      </c>
      <c r="F95" s="211">
        <f>AVERAGE(F91:F94)</f>
        <v>15625159.666666666</v>
      </c>
      <c r="G95" s="212">
        <f>AVERAGE(G91:G94)</f>
        <v>19569843.169401307</v>
      </c>
    </row>
    <row r="96" spans="1:12" ht="26.25" customHeight="1" x14ac:dyDescent="0.4">
      <c r="A96" s="124" t="s">
        <v>71</v>
      </c>
      <c r="B96" s="110">
        <v>1</v>
      </c>
      <c r="C96" s="213" t="s">
        <v>112</v>
      </c>
      <c r="D96" s="214">
        <v>10.26</v>
      </c>
      <c r="E96" s="140"/>
      <c r="F96" s="152">
        <v>10.71</v>
      </c>
    </row>
    <row r="97" spans="1:10" ht="26.25" customHeight="1" x14ac:dyDescent="0.4">
      <c r="A97" s="124" t="s">
        <v>73</v>
      </c>
      <c r="B97" s="110">
        <v>1</v>
      </c>
      <c r="C97" s="215" t="s">
        <v>113</v>
      </c>
      <c r="D97" s="216">
        <f>D96*$B$87</f>
        <v>10.26</v>
      </c>
      <c r="E97" s="155"/>
      <c r="F97" s="154">
        <f>F96*$B$87</f>
        <v>10.71</v>
      </c>
    </row>
    <row r="98" spans="1:10" ht="19.5" customHeight="1" x14ac:dyDescent="0.3">
      <c r="A98" s="124" t="s">
        <v>75</v>
      </c>
      <c r="B98" s="217">
        <f>(B97/B96)*(B95/B94)*(B93/B92)*(B91/B90)*B89</f>
        <v>100</v>
      </c>
      <c r="C98" s="215" t="s">
        <v>114</v>
      </c>
      <c r="D98" s="218">
        <f>D97*$B$83/100</f>
        <v>10.19844</v>
      </c>
      <c r="E98" s="158"/>
      <c r="F98" s="157">
        <f>F97*$B$83/100</f>
        <v>10.64574</v>
      </c>
    </row>
    <row r="99" spans="1:10" ht="19.5" customHeight="1" x14ac:dyDescent="0.3">
      <c r="A99" s="673" t="s">
        <v>77</v>
      </c>
      <c r="B99" s="688"/>
      <c r="C99" s="215" t="s">
        <v>115</v>
      </c>
      <c r="D99" s="219">
        <f>D98/$B$98</f>
        <v>0.1019844</v>
      </c>
      <c r="E99" s="158"/>
      <c r="F99" s="161">
        <f>F98/$B$98</f>
        <v>0.10645739999999999</v>
      </c>
      <c r="G99" s="220"/>
      <c r="H99" s="150"/>
    </row>
    <row r="100" spans="1:10" ht="19.5" customHeight="1" x14ac:dyDescent="0.3">
      <c r="A100" s="675"/>
      <c r="B100" s="689"/>
      <c r="C100" s="215" t="s">
        <v>79</v>
      </c>
      <c r="D100" s="221">
        <f>$B$56/$B$116</f>
        <v>0.13333333333333333</v>
      </c>
      <c r="F100" s="166"/>
      <c r="G100" s="222"/>
      <c r="H100" s="150"/>
    </row>
    <row r="101" spans="1:10" ht="18.75" x14ac:dyDescent="0.3">
      <c r="C101" s="215" t="s">
        <v>80</v>
      </c>
      <c r="D101" s="216">
        <f>D100*$B$98</f>
        <v>13.333333333333334</v>
      </c>
      <c r="F101" s="166"/>
      <c r="G101" s="220"/>
      <c r="H101" s="150"/>
    </row>
    <row r="102" spans="1:10" ht="19.5" customHeight="1" x14ac:dyDescent="0.3">
      <c r="C102" s="223" t="s">
        <v>81</v>
      </c>
      <c r="D102" s="224">
        <f>D101/B34</f>
        <v>13.333333333333334</v>
      </c>
      <c r="F102" s="170"/>
      <c r="G102" s="220"/>
      <c r="H102" s="150"/>
      <c r="J102" s="225"/>
    </row>
    <row r="103" spans="1:10" ht="18.75" x14ac:dyDescent="0.3">
      <c r="C103" s="226" t="s">
        <v>116</v>
      </c>
      <c r="D103" s="227">
        <f>AVERAGE(E91:E94,G91:G94)</f>
        <v>19410883.768895272</v>
      </c>
      <c r="F103" s="170"/>
      <c r="G103" s="228"/>
      <c r="H103" s="150"/>
      <c r="J103" s="229"/>
    </row>
    <row r="104" spans="1:10" ht="18.75" x14ac:dyDescent="0.3">
      <c r="C104" s="193" t="s">
        <v>83</v>
      </c>
      <c r="D104" s="230">
        <f>STDEV(E91:E94,G91:G94)/D103</f>
        <v>1.0183728949783078E-2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117</v>
      </c>
      <c r="B107" s="123">
        <v>900</v>
      </c>
      <c r="C107" s="270" t="s">
        <v>118</v>
      </c>
      <c r="D107" s="270" t="s">
        <v>62</v>
      </c>
      <c r="E107" s="270" t="s">
        <v>119</v>
      </c>
      <c r="F107" s="232" t="s">
        <v>120</v>
      </c>
    </row>
    <row r="108" spans="1:10" ht="26.25" customHeight="1" x14ac:dyDescent="0.4">
      <c r="A108" s="124" t="s">
        <v>121</v>
      </c>
      <c r="B108" s="125">
        <v>10</v>
      </c>
      <c r="C108" s="275">
        <v>1</v>
      </c>
      <c r="D108" s="276">
        <v>19020611</v>
      </c>
      <c r="E108" s="250">
        <f t="shared" ref="E108:E113" si="1">IF(ISBLANK(D108),"-",D108/$D$103*$D$100*$B$116)</f>
        <v>293.96823802241306</v>
      </c>
      <c r="F108" s="277">
        <f t="shared" ref="F108:F113" si="2">IF(ISBLANK(D108), "-", (E108/$B$56)*100)</f>
        <v>97.989412674137682</v>
      </c>
    </row>
    <row r="109" spans="1:10" ht="26.25" customHeight="1" x14ac:dyDescent="0.4">
      <c r="A109" s="124" t="s">
        <v>94</v>
      </c>
      <c r="B109" s="125">
        <v>25</v>
      </c>
      <c r="C109" s="271">
        <v>2</v>
      </c>
      <c r="D109" s="273">
        <v>19097029</v>
      </c>
      <c r="E109" s="251">
        <f t="shared" si="1"/>
        <v>295.14929707531087</v>
      </c>
      <c r="F109" s="278">
        <f t="shared" si="2"/>
        <v>98.383099025103633</v>
      </c>
    </row>
    <row r="110" spans="1:10" ht="26.25" customHeight="1" x14ac:dyDescent="0.4">
      <c r="A110" s="124" t="s">
        <v>95</v>
      </c>
      <c r="B110" s="125">
        <v>1</v>
      </c>
      <c r="C110" s="271">
        <v>3</v>
      </c>
      <c r="D110" s="273">
        <v>19426400</v>
      </c>
      <c r="E110" s="251">
        <f t="shared" si="1"/>
        <v>300.23980718172538</v>
      </c>
      <c r="F110" s="278">
        <f t="shared" si="2"/>
        <v>100.07993572724179</v>
      </c>
    </row>
    <row r="111" spans="1:10" ht="26.25" customHeight="1" x14ac:dyDescent="0.4">
      <c r="A111" s="124" t="s">
        <v>96</v>
      </c>
      <c r="B111" s="125">
        <v>1</v>
      </c>
      <c r="C111" s="271">
        <v>4</v>
      </c>
      <c r="D111" s="273">
        <v>18716519</v>
      </c>
      <c r="E111" s="251">
        <f t="shared" si="1"/>
        <v>289.26842110082669</v>
      </c>
      <c r="F111" s="278">
        <f t="shared" si="2"/>
        <v>96.42280703360889</v>
      </c>
    </row>
    <row r="112" spans="1:10" ht="26.25" customHeight="1" x14ac:dyDescent="0.4">
      <c r="A112" s="124" t="s">
        <v>97</v>
      </c>
      <c r="B112" s="125">
        <v>1</v>
      </c>
      <c r="C112" s="271">
        <v>5</v>
      </c>
      <c r="D112" s="273">
        <v>18089648</v>
      </c>
      <c r="E112" s="251">
        <f t="shared" si="1"/>
        <v>279.57997505998458</v>
      </c>
      <c r="F112" s="278">
        <f t="shared" si="2"/>
        <v>93.193325019994859</v>
      </c>
    </row>
    <row r="113" spans="1:10" ht="27" customHeight="1" x14ac:dyDescent="0.4">
      <c r="A113" s="124" t="s">
        <v>99</v>
      </c>
      <c r="B113" s="125">
        <v>1</v>
      </c>
      <c r="C113" s="272">
        <v>6</v>
      </c>
      <c r="D113" s="274">
        <v>19279569</v>
      </c>
      <c r="E113" s="252">
        <f t="shared" si="1"/>
        <v>297.97049783319454</v>
      </c>
      <c r="F113" s="279">
        <f t="shared" si="2"/>
        <v>99.323499277731514</v>
      </c>
    </row>
    <row r="114" spans="1:10" ht="27" customHeight="1" x14ac:dyDescent="0.4">
      <c r="A114" s="124" t="s">
        <v>100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101</v>
      </c>
      <c r="B115" s="125">
        <v>1</v>
      </c>
      <c r="C115" s="233"/>
      <c r="D115" s="257" t="s">
        <v>70</v>
      </c>
      <c r="E115" s="259">
        <f>AVERAGE(E108:E113)</f>
        <v>292.69603937890918</v>
      </c>
      <c r="F115" s="281">
        <f>AVERAGE(F108:F113)</f>
        <v>97.565346459636388</v>
      </c>
    </row>
    <row r="116" spans="1:10" ht="27" customHeight="1" x14ac:dyDescent="0.4">
      <c r="A116" s="124" t="s">
        <v>102</v>
      </c>
      <c r="B116" s="156">
        <f>(B115/B114)*(B113/B112)*(B111/B110)*(B109/B108)*B107</f>
        <v>2250</v>
      </c>
      <c r="C116" s="234"/>
      <c r="D116" s="258" t="s">
        <v>83</v>
      </c>
      <c r="E116" s="256">
        <f>STDEV(E108:E113)/E115</f>
        <v>2.5390237188310232E-2</v>
      </c>
      <c r="F116" s="235">
        <f>STDEV(F108:F113)/F115</f>
        <v>2.5390237188310232E-2</v>
      </c>
      <c r="I116" s="98"/>
    </row>
    <row r="117" spans="1:10" ht="27" customHeight="1" x14ac:dyDescent="0.4">
      <c r="A117" s="673" t="s">
        <v>77</v>
      </c>
      <c r="B117" s="674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675"/>
      <c r="B118" s="676"/>
      <c r="C118" s="98"/>
      <c r="D118" s="260"/>
      <c r="E118" s="701" t="s">
        <v>122</v>
      </c>
      <c r="F118" s="702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123</v>
      </c>
      <c r="E119" s="263">
        <f>MIN(E108:E113)</f>
        <v>279.57997505998458</v>
      </c>
      <c r="F119" s="282">
        <f>MIN(F108:F113)</f>
        <v>93.193325019994859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124</v>
      </c>
      <c r="E120" s="264">
        <f>MAX(E108:E113)</f>
        <v>300.23980718172538</v>
      </c>
      <c r="F120" s="283">
        <f>MAX(F108:F113)</f>
        <v>100.07993572724179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105</v>
      </c>
      <c r="B124" s="197" t="s">
        <v>125</v>
      </c>
      <c r="C124" s="677" t="str">
        <f>B26</f>
        <v>paracetamol</v>
      </c>
      <c r="D124" s="677"/>
      <c r="E124" s="198" t="s">
        <v>126</v>
      </c>
      <c r="F124" s="198"/>
      <c r="G124" s="284">
        <f>F115</f>
        <v>97.565346459636388</v>
      </c>
      <c r="H124" s="98"/>
      <c r="I124" s="98"/>
    </row>
    <row r="125" spans="1:10" ht="45.75" customHeight="1" x14ac:dyDescent="0.65">
      <c r="A125" s="108"/>
      <c r="B125" s="197" t="s">
        <v>127</v>
      </c>
      <c r="C125" s="109" t="s">
        <v>128</v>
      </c>
      <c r="D125" s="284">
        <f>MIN(F108:F113)</f>
        <v>93.193325019994859</v>
      </c>
      <c r="E125" s="209" t="s">
        <v>129</v>
      </c>
      <c r="F125" s="284">
        <f>MAX(F108:F113)</f>
        <v>100.07993572724179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678" t="s">
        <v>25</v>
      </c>
      <c r="C127" s="678"/>
      <c r="E127" s="204" t="s">
        <v>26</v>
      </c>
      <c r="F127" s="239"/>
      <c r="G127" s="678" t="s">
        <v>27</v>
      </c>
      <c r="H127" s="678"/>
    </row>
    <row r="128" spans="1:10" ht="69.95" customHeight="1" x14ac:dyDescent="0.3">
      <c r="A128" s="240" t="s">
        <v>28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29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0" zoomScale="60" zoomScaleNormal="40" zoomScalePageLayoutView="55" workbookViewId="0">
      <selection activeCell="F62" sqref="F6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1" t="s">
        <v>44</v>
      </c>
      <c r="B1" s="671"/>
      <c r="C1" s="671"/>
      <c r="D1" s="671"/>
      <c r="E1" s="671"/>
      <c r="F1" s="671"/>
      <c r="G1" s="671"/>
      <c r="H1" s="671"/>
      <c r="I1" s="671"/>
    </row>
    <row r="2" spans="1:9" ht="18.75" customHeight="1" x14ac:dyDescent="0.25">
      <c r="A2" s="671"/>
      <c r="B2" s="671"/>
      <c r="C2" s="671"/>
      <c r="D2" s="671"/>
      <c r="E2" s="671"/>
      <c r="F2" s="671"/>
      <c r="G2" s="671"/>
      <c r="H2" s="671"/>
      <c r="I2" s="671"/>
    </row>
    <row r="3" spans="1:9" ht="18.75" customHeight="1" x14ac:dyDescent="0.25">
      <c r="A3" s="671"/>
      <c r="B3" s="671"/>
      <c r="C3" s="671"/>
      <c r="D3" s="671"/>
      <c r="E3" s="671"/>
      <c r="F3" s="671"/>
      <c r="G3" s="671"/>
      <c r="H3" s="671"/>
      <c r="I3" s="671"/>
    </row>
    <row r="4" spans="1:9" ht="18.75" customHeight="1" x14ac:dyDescent="0.25">
      <c r="A4" s="671"/>
      <c r="B4" s="671"/>
      <c r="C4" s="671"/>
      <c r="D4" s="671"/>
      <c r="E4" s="671"/>
      <c r="F4" s="671"/>
      <c r="G4" s="671"/>
      <c r="H4" s="671"/>
      <c r="I4" s="671"/>
    </row>
    <row r="5" spans="1:9" ht="18.75" customHeight="1" x14ac:dyDescent="0.25">
      <c r="A5" s="671"/>
      <c r="B5" s="671"/>
      <c r="C5" s="671"/>
      <c r="D5" s="671"/>
      <c r="E5" s="671"/>
      <c r="F5" s="671"/>
      <c r="G5" s="671"/>
      <c r="H5" s="671"/>
      <c r="I5" s="671"/>
    </row>
    <row r="6" spans="1:9" ht="18.75" customHeight="1" x14ac:dyDescent="0.25">
      <c r="A6" s="671"/>
      <c r="B6" s="671"/>
      <c r="C6" s="671"/>
      <c r="D6" s="671"/>
      <c r="E6" s="671"/>
      <c r="F6" s="671"/>
      <c r="G6" s="671"/>
      <c r="H6" s="671"/>
      <c r="I6" s="671"/>
    </row>
    <row r="7" spans="1:9" ht="18.75" customHeight="1" x14ac:dyDescent="0.25">
      <c r="A7" s="671"/>
      <c r="B7" s="671"/>
      <c r="C7" s="671"/>
      <c r="D7" s="671"/>
      <c r="E7" s="671"/>
      <c r="F7" s="671"/>
      <c r="G7" s="671"/>
      <c r="H7" s="671"/>
      <c r="I7" s="671"/>
    </row>
    <row r="8" spans="1:9" x14ac:dyDescent="0.25">
      <c r="A8" s="672" t="s">
        <v>45</v>
      </c>
      <c r="B8" s="672"/>
      <c r="C8" s="672"/>
      <c r="D8" s="672"/>
      <c r="E8" s="672"/>
      <c r="F8" s="672"/>
      <c r="G8" s="672"/>
      <c r="H8" s="672"/>
      <c r="I8" s="672"/>
    </row>
    <row r="9" spans="1:9" x14ac:dyDescent="0.25">
      <c r="A9" s="672"/>
      <c r="B9" s="672"/>
      <c r="C9" s="672"/>
      <c r="D9" s="672"/>
      <c r="E9" s="672"/>
      <c r="F9" s="672"/>
      <c r="G9" s="672"/>
      <c r="H9" s="672"/>
      <c r="I9" s="672"/>
    </row>
    <row r="10" spans="1:9" x14ac:dyDescent="0.25">
      <c r="A10" s="672"/>
      <c r="B10" s="672"/>
      <c r="C10" s="672"/>
      <c r="D10" s="672"/>
      <c r="E10" s="672"/>
      <c r="F10" s="672"/>
      <c r="G10" s="672"/>
      <c r="H10" s="672"/>
      <c r="I10" s="672"/>
    </row>
    <row r="11" spans="1:9" x14ac:dyDescent="0.25">
      <c r="A11" s="672"/>
      <c r="B11" s="672"/>
      <c r="C11" s="672"/>
      <c r="D11" s="672"/>
      <c r="E11" s="672"/>
      <c r="F11" s="672"/>
      <c r="G11" s="672"/>
      <c r="H11" s="672"/>
      <c r="I11" s="672"/>
    </row>
    <row r="12" spans="1:9" x14ac:dyDescent="0.25">
      <c r="A12" s="672"/>
      <c r="B12" s="672"/>
      <c r="C12" s="672"/>
      <c r="D12" s="672"/>
      <c r="E12" s="672"/>
      <c r="F12" s="672"/>
      <c r="G12" s="672"/>
      <c r="H12" s="672"/>
      <c r="I12" s="672"/>
    </row>
    <row r="13" spans="1:9" x14ac:dyDescent="0.25">
      <c r="A13" s="672"/>
      <c r="B13" s="672"/>
      <c r="C13" s="672"/>
      <c r="D13" s="672"/>
      <c r="E13" s="672"/>
      <c r="F13" s="672"/>
      <c r="G13" s="672"/>
      <c r="H13" s="672"/>
      <c r="I13" s="672"/>
    </row>
    <row r="14" spans="1:9" x14ac:dyDescent="0.25">
      <c r="A14" s="672"/>
      <c r="B14" s="672"/>
      <c r="C14" s="672"/>
      <c r="D14" s="672"/>
      <c r="E14" s="672"/>
      <c r="F14" s="672"/>
      <c r="G14" s="672"/>
      <c r="H14" s="672"/>
      <c r="I14" s="672"/>
    </row>
    <row r="15" spans="1:9" ht="19.5" customHeight="1" x14ac:dyDescent="0.3">
      <c r="A15" s="285"/>
    </row>
    <row r="16" spans="1:9" ht="19.5" customHeight="1" x14ac:dyDescent="0.3">
      <c r="A16" s="704" t="s">
        <v>30</v>
      </c>
      <c r="B16" s="705"/>
      <c r="C16" s="705"/>
      <c r="D16" s="705"/>
      <c r="E16" s="705"/>
      <c r="F16" s="705"/>
      <c r="G16" s="705"/>
      <c r="H16" s="706"/>
    </row>
    <row r="17" spans="1:14" ht="20.25" customHeight="1" x14ac:dyDescent="0.25">
      <c r="A17" s="707" t="s">
        <v>46</v>
      </c>
      <c r="B17" s="707"/>
      <c r="C17" s="707"/>
      <c r="D17" s="707"/>
      <c r="E17" s="707"/>
      <c r="F17" s="707"/>
      <c r="G17" s="707"/>
      <c r="H17" s="707"/>
    </row>
    <row r="18" spans="1:14" ht="26.25" customHeight="1" x14ac:dyDescent="0.4">
      <c r="A18" s="287" t="s">
        <v>32</v>
      </c>
      <c r="B18" s="703" t="s">
        <v>5</v>
      </c>
      <c r="C18" s="703"/>
      <c r="D18" s="433"/>
      <c r="E18" s="288"/>
      <c r="F18" s="289"/>
      <c r="G18" s="289"/>
      <c r="H18" s="289"/>
    </row>
    <row r="19" spans="1:14" ht="26.25" customHeight="1" x14ac:dyDescent="0.4">
      <c r="A19" s="287" t="s">
        <v>33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34</v>
      </c>
      <c r="B20" s="708" t="s">
        <v>132</v>
      </c>
      <c r="C20" s="708"/>
      <c r="D20" s="289"/>
      <c r="E20" s="289"/>
      <c r="F20" s="289"/>
      <c r="G20" s="289"/>
      <c r="H20" s="289"/>
    </row>
    <row r="21" spans="1:14" ht="26.25" customHeight="1" x14ac:dyDescent="0.4">
      <c r="A21" s="287" t="s">
        <v>35</v>
      </c>
      <c r="B21" s="708" t="s">
        <v>11</v>
      </c>
      <c r="C21" s="708"/>
      <c r="D21" s="708"/>
      <c r="E21" s="708"/>
      <c r="F21" s="708"/>
      <c r="G21" s="708"/>
      <c r="H21" s="708"/>
      <c r="I21" s="291"/>
    </row>
    <row r="22" spans="1:14" ht="26.25" customHeight="1" x14ac:dyDescent="0.4">
      <c r="A22" s="287" t="s">
        <v>36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37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703" t="s">
        <v>132</v>
      </c>
      <c r="C26" s="703"/>
    </row>
    <row r="27" spans="1:14" ht="26.25" customHeight="1" x14ac:dyDescent="0.4">
      <c r="A27" s="296" t="s">
        <v>47</v>
      </c>
      <c r="B27" s="709" t="s">
        <v>135</v>
      </c>
      <c r="C27" s="709"/>
    </row>
    <row r="28" spans="1:14" ht="27" customHeight="1" x14ac:dyDescent="0.4">
      <c r="A28" s="296" t="s">
        <v>6</v>
      </c>
      <c r="B28" s="297">
        <v>99.9</v>
      </c>
    </row>
    <row r="29" spans="1:14" s="14" customFormat="1" ht="27" customHeight="1" x14ac:dyDescent="0.4">
      <c r="A29" s="296" t="s">
        <v>48</v>
      </c>
      <c r="B29" s="298">
        <v>0</v>
      </c>
      <c r="C29" s="679" t="s">
        <v>49</v>
      </c>
      <c r="D29" s="680"/>
      <c r="E29" s="680"/>
      <c r="F29" s="680"/>
      <c r="G29" s="681"/>
      <c r="I29" s="299"/>
      <c r="J29" s="299"/>
      <c r="K29" s="299"/>
      <c r="L29" s="299"/>
    </row>
    <row r="30" spans="1:14" s="14" customFormat="1" ht="19.5" customHeight="1" x14ac:dyDescent="0.3">
      <c r="A30" s="296" t="s">
        <v>50</v>
      </c>
      <c r="B30" s="300">
        <f>B28-B29</f>
        <v>99.9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51</v>
      </c>
      <c r="B31" s="303">
        <v>1</v>
      </c>
      <c r="C31" s="682" t="s">
        <v>52</v>
      </c>
      <c r="D31" s="683"/>
      <c r="E31" s="683"/>
      <c r="F31" s="683"/>
      <c r="G31" s="683"/>
      <c r="H31" s="684"/>
      <c r="I31" s="299"/>
      <c r="J31" s="299"/>
      <c r="K31" s="299"/>
      <c r="L31" s="299"/>
    </row>
    <row r="32" spans="1:14" s="14" customFormat="1" ht="27" customHeight="1" x14ac:dyDescent="0.4">
      <c r="A32" s="296" t="s">
        <v>53</v>
      </c>
      <c r="B32" s="303">
        <v>1</v>
      </c>
      <c r="C32" s="682" t="s">
        <v>54</v>
      </c>
      <c r="D32" s="683"/>
      <c r="E32" s="683"/>
      <c r="F32" s="683"/>
      <c r="G32" s="683"/>
      <c r="H32" s="684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55</v>
      </c>
      <c r="B34" s="308">
        <f>B31/B32</f>
        <v>1</v>
      </c>
      <c r="C34" s="286" t="s">
        <v>56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57</v>
      </c>
      <c r="B36" s="310">
        <v>100</v>
      </c>
      <c r="C36" s="286"/>
      <c r="D36" s="685" t="s">
        <v>58</v>
      </c>
      <c r="E36" s="710"/>
      <c r="F36" s="685" t="s">
        <v>59</v>
      </c>
      <c r="G36" s="686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60</v>
      </c>
      <c r="B37" s="312">
        <v>1</v>
      </c>
      <c r="C37" s="313" t="s">
        <v>61</v>
      </c>
      <c r="D37" s="314" t="s">
        <v>62</v>
      </c>
      <c r="E37" s="315" t="s">
        <v>63</v>
      </c>
      <c r="F37" s="314" t="s">
        <v>62</v>
      </c>
      <c r="G37" s="316" t="s">
        <v>63</v>
      </c>
      <c r="I37" s="317" t="s">
        <v>64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65</v>
      </c>
      <c r="B38" s="312">
        <v>1</v>
      </c>
      <c r="C38" s="318">
        <v>1</v>
      </c>
      <c r="D38" s="319">
        <v>11416307</v>
      </c>
      <c r="E38" s="320">
        <f>IF(ISBLANK(D38),"-",$D$48/$D$45*D38)</f>
        <v>11427734.734734736</v>
      </c>
      <c r="F38" s="319">
        <v>14514880</v>
      </c>
      <c r="G38" s="321">
        <f>IF(ISBLANK(F38),"-",$D$48/$F$45*F38)</f>
        <v>11609596.012312751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66</v>
      </c>
      <c r="B39" s="312">
        <v>1</v>
      </c>
      <c r="C39" s="323">
        <v>2</v>
      </c>
      <c r="D39" s="324">
        <v>11369294</v>
      </c>
      <c r="E39" s="325">
        <f>IF(ISBLANK(D39),"-",$D$48/$D$45*D39)</f>
        <v>11380674.674674675</v>
      </c>
      <c r="F39" s="324">
        <v>14339873</v>
      </c>
      <c r="G39" s="326">
        <f>IF(ISBLANK(F39),"-",$D$48/$F$45*F39)</f>
        <v>11469618.239893908</v>
      </c>
      <c r="I39" s="687">
        <f>ABS((F43/D43*D42)-F42)/D42</f>
        <v>1.3931215491688223E-2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67</v>
      </c>
      <c r="B40" s="312">
        <v>1</v>
      </c>
      <c r="C40" s="323">
        <v>3</v>
      </c>
      <c r="D40" s="324">
        <v>11339692</v>
      </c>
      <c r="E40" s="325">
        <f>IF(ISBLANK(D40),"-",$D$48/$D$45*D40)</f>
        <v>11351043.043043043</v>
      </c>
      <c r="F40" s="324">
        <v>14328458</v>
      </c>
      <c r="G40" s="326">
        <f>IF(ISBLANK(F40),"-",$D$48/$F$45*F40)</f>
        <v>11460488.05497467</v>
      </c>
      <c r="I40" s="687"/>
      <c r="L40" s="304"/>
      <c r="M40" s="304"/>
      <c r="N40" s="327"/>
    </row>
    <row r="41" spans="1:14" ht="27" customHeight="1" x14ac:dyDescent="0.4">
      <c r="A41" s="311" t="s">
        <v>68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69</v>
      </c>
      <c r="B42" s="312">
        <v>1</v>
      </c>
      <c r="C42" s="333" t="s">
        <v>70</v>
      </c>
      <c r="D42" s="334">
        <f>AVERAGE(D38:D41)</f>
        <v>11375097.666666666</v>
      </c>
      <c r="E42" s="335">
        <f>AVERAGE(E38:E41)</f>
        <v>11386484.150817484</v>
      </c>
      <c r="F42" s="334">
        <f>AVERAGE(F38:F41)</f>
        <v>14394403.666666666</v>
      </c>
      <c r="G42" s="336">
        <f>AVERAGE(G38:G41)</f>
        <v>11513234.102393776</v>
      </c>
      <c r="H42" s="337"/>
    </row>
    <row r="43" spans="1:14" ht="26.25" customHeight="1" x14ac:dyDescent="0.4">
      <c r="A43" s="311" t="s">
        <v>71</v>
      </c>
      <c r="B43" s="312">
        <v>1</v>
      </c>
      <c r="C43" s="338" t="s">
        <v>72</v>
      </c>
      <c r="D43" s="339">
        <v>20</v>
      </c>
      <c r="E43" s="327"/>
      <c r="F43" s="339">
        <v>25.03</v>
      </c>
      <c r="H43" s="337"/>
    </row>
    <row r="44" spans="1:14" ht="26.25" customHeight="1" x14ac:dyDescent="0.4">
      <c r="A44" s="311" t="s">
        <v>73</v>
      </c>
      <c r="B44" s="312">
        <v>1</v>
      </c>
      <c r="C44" s="340" t="s">
        <v>74</v>
      </c>
      <c r="D44" s="341">
        <f>D43*$B$34</f>
        <v>20</v>
      </c>
      <c r="E44" s="342"/>
      <c r="F44" s="341">
        <f>F43*$B$34</f>
        <v>25.03</v>
      </c>
      <c r="H44" s="337"/>
    </row>
    <row r="45" spans="1:14" ht="19.5" customHeight="1" x14ac:dyDescent="0.3">
      <c r="A45" s="311" t="s">
        <v>75</v>
      </c>
      <c r="B45" s="343">
        <f>(B44/B43)*(B42/B41)*(B40/B39)*(B38/B37)*B36</f>
        <v>100</v>
      </c>
      <c r="C45" s="340" t="s">
        <v>76</v>
      </c>
      <c r="D45" s="344">
        <f>D44*$B$30/100</f>
        <v>19.98</v>
      </c>
      <c r="E45" s="345"/>
      <c r="F45" s="344">
        <f>F44*$B$30/100</f>
        <v>25.004970000000004</v>
      </c>
      <c r="H45" s="337"/>
    </row>
    <row r="46" spans="1:14" ht="19.5" customHeight="1" x14ac:dyDescent="0.3">
      <c r="A46" s="673" t="s">
        <v>77</v>
      </c>
      <c r="B46" s="674"/>
      <c r="C46" s="340" t="s">
        <v>78</v>
      </c>
      <c r="D46" s="346">
        <f>D45/$B$45</f>
        <v>0.19980000000000001</v>
      </c>
      <c r="E46" s="347"/>
      <c r="F46" s="348">
        <f>F45/$B$45</f>
        <v>0.25004970000000004</v>
      </c>
      <c r="H46" s="337"/>
    </row>
    <row r="47" spans="1:14" ht="27" customHeight="1" x14ac:dyDescent="0.4">
      <c r="A47" s="675"/>
      <c r="B47" s="676"/>
      <c r="C47" s="349" t="s">
        <v>79</v>
      </c>
      <c r="D47" s="350">
        <v>0.2</v>
      </c>
      <c r="E47" s="351"/>
      <c r="F47" s="347"/>
      <c r="H47" s="337"/>
    </row>
    <row r="48" spans="1:14" ht="18.75" x14ac:dyDescent="0.3">
      <c r="C48" s="352" t="s">
        <v>80</v>
      </c>
      <c r="D48" s="344">
        <f>D47*$B$45</f>
        <v>20</v>
      </c>
      <c r="F48" s="353"/>
      <c r="H48" s="337"/>
    </row>
    <row r="49" spans="1:12" ht="19.5" customHeight="1" x14ac:dyDescent="0.3">
      <c r="C49" s="354" t="s">
        <v>81</v>
      </c>
      <c r="D49" s="355">
        <f>D48/B34</f>
        <v>20</v>
      </c>
      <c r="F49" s="353"/>
      <c r="H49" s="337"/>
    </row>
    <row r="50" spans="1:12" ht="18.75" x14ac:dyDescent="0.3">
      <c r="C50" s="309" t="s">
        <v>82</v>
      </c>
      <c r="D50" s="356">
        <f>AVERAGE(E38:E41,G38:G41)</f>
        <v>11449859.12660563</v>
      </c>
      <c r="F50" s="357"/>
      <c r="H50" s="337"/>
    </row>
    <row r="51" spans="1:12" ht="18.75" x14ac:dyDescent="0.3">
      <c r="C51" s="311" t="s">
        <v>83</v>
      </c>
      <c r="D51" s="358">
        <f>STDEV(E38:E41,G38:G41)/D50</f>
        <v>7.914502343204748E-3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84</v>
      </c>
    </row>
    <row r="55" spans="1:12" ht="18.75" x14ac:dyDescent="0.3">
      <c r="A55" s="286" t="s">
        <v>85</v>
      </c>
      <c r="B55" s="363" t="str">
        <f>B21</f>
        <v>Each tablet contains Acetylsalicylic Acid B.P 600 mg, Paracetamol B.P 300 mg, Caffeine Anhdrous B.P 50 MG</v>
      </c>
    </row>
    <row r="56" spans="1:12" ht="26.25" customHeight="1" x14ac:dyDescent="0.4">
      <c r="A56" s="364" t="s">
        <v>86</v>
      </c>
      <c r="B56" s="365">
        <v>600</v>
      </c>
      <c r="C56" s="286" t="str">
        <f>B20</f>
        <v>Aspirin</v>
      </c>
      <c r="H56" s="366"/>
    </row>
    <row r="57" spans="1:12" ht="18.75" x14ac:dyDescent="0.3">
      <c r="A57" s="363" t="s">
        <v>87</v>
      </c>
      <c r="B57" s="434">
        <f>Uniformity!C46</f>
        <v>1121.1590000000001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88</v>
      </c>
      <c r="B59" s="310">
        <v>50</v>
      </c>
      <c r="C59" s="286"/>
      <c r="D59" s="367" t="s">
        <v>89</v>
      </c>
      <c r="E59" s="368" t="s">
        <v>61</v>
      </c>
      <c r="F59" s="368" t="s">
        <v>62</v>
      </c>
      <c r="G59" s="368" t="s">
        <v>90</v>
      </c>
      <c r="H59" s="313" t="s">
        <v>91</v>
      </c>
      <c r="L59" s="299"/>
    </row>
    <row r="60" spans="1:12" s="14" customFormat="1" ht="26.25" customHeight="1" x14ac:dyDescent="0.4">
      <c r="A60" s="311" t="s">
        <v>92</v>
      </c>
      <c r="B60" s="312">
        <v>1</v>
      </c>
      <c r="C60" s="690" t="s">
        <v>93</v>
      </c>
      <c r="D60" s="693">
        <v>908.28</v>
      </c>
      <c r="E60" s="369">
        <v>1</v>
      </c>
      <c r="F60" s="370">
        <v>11842916</v>
      </c>
      <c r="G60" s="435">
        <f>IF(ISBLANK(F60),"-",(F60/$D$50*$D$47*$B$68)*($B$57/$D$60))</f>
        <v>638.37514002747514</v>
      </c>
      <c r="H60" s="453">
        <f t="shared" ref="H60:H71" si="0">IF(ISBLANK(F60),"-",(G60/$B$56)*100)</f>
        <v>106.39585667124585</v>
      </c>
      <c r="L60" s="299"/>
    </row>
    <row r="61" spans="1:12" s="14" customFormat="1" ht="26.25" customHeight="1" x14ac:dyDescent="0.4">
      <c r="A61" s="311" t="s">
        <v>94</v>
      </c>
      <c r="B61" s="312">
        <v>50</v>
      </c>
      <c r="C61" s="691"/>
      <c r="D61" s="694"/>
      <c r="E61" s="371">
        <v>2</v>
      </c>
      <c r="F61" s="324">
        <v>11675788</v>
      </c>
      <c r="G61" s="436">
        <f>IF(ISBLANK(F61),"-",(F61/$D$50*$D$47*$B$68)*($B$57/$D$60))</f>
        <v>629.36634857758975</v>
      </c>
      <c r="H61" s="454">
        <f t="shared" si="0"/>
        <v>104.89439142959829</v>
      </c>
      <c r="L61" s="299"/>
    </row>
    <row r="62" spans="1:12" s="14" customFormat="1" ht="26.25" customHeight="1" x14ac:dyDescent="0.4">
      <c r="A62" s="311" t="s">
        <v>95</v>
      </c>
      <c r="B62" s="312">
        <v>1</v>
      </c>
      <c r="C62" s="691"/>
      <c r="D62" s="694"/>
      <c r="E62" s="371">
        <v>3</v>
      </c>
      <c r="F62" s="372"/>
      <c r="G62" s="436" t="str">
        <f>IF(ISBLANK(F62),"-",(F62/$D$50*$D$47*$B$68)*($B$57/$D$60))</f>
        <v>-</v>
      </c>
      <c r="H62" s="454" t="str">
        <f t="shared" si="0"/>
        <v>-</v>
      </c>
      <c r="L62" s="299"/>
    </row>
    <row r="63" spans="1:12" ht="27" customHeight="1" x14ac:dyDescent="0.4">
      <c r="A63" s="311" t="s">
        <v>96</v>
      </c>
      <c r="B63" s="312">
        <v>1</v>
      </c>
      <c r="C63" s="700"/>
      <c r="D63" s="695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97</v>
      </c>
      <c r="B64" s="312">
        <v>1</v>
      </c>
      <c r="C64" s="690" t="s">
        <v>98</v>
      </c>
      <c r="D64" s="693">
        <v>935.36</v>
      </c>
      <c r="E64" s="369">
        <v>1</v>
      </c>
      <c r="F64" s="370">
        <v>11847719</v>
      </c>
      <c r="G64" s="435">
        <f>IF(ISBLANK(F64),"-",(F64/$D$50*$D$47*$B$68)*($B$57/$D$64))</f>
        <v>620.14467660993625</v>
      </c>
      <c r="H64" s="453">
        <f t="shared" si="0"/>
        <v>103.35744610165605</v>
      </c>
    </row>
    <row r="65" spans="1:8" ht="26.25" customHeight="1" x14ac:dyDescent="0.4">
      <c r="A65" s="311" t="s">
        <v>99</v>
      </c>
      <c r="B65" s="312">
        <v>1</v>
      </c>
      <c r="C65" s="691"/>
      <c r="D65" s="694"/>
      <c r="E65" s="371">
        <v>2</v>
      </c>
      <c r="F65" s="324">
        <v>12020864</v>
      </c>
      <c r="G65" s="436">
        <f>IF(ISBLANK(F65),"-",(F65/$D$50*$D$47*$B$68)*($B$57/$D$64))</f>
        <v>629.20759834462865</v>
      </c>
      <c r="H65" s="454">
        <f t="shared" si="0"/>
        <v>104.86793305743811</v>
      </c>
    </row>
    <row r="66" spans="1:8" ht="26.25" customHeight="1" x14ac:dyDescent="0.4">
      <c r="A66" s="311" t="s">
        <v>100</v>
      </c>
      <c r="B66" s="312">
        <v>1</v>
      </c>
      <c r="C66" s="691"/>
      <c r="D66" s="694"/>
      <c r="E66" s="371">
        <v>3</v>
      </c>
      <c r="F66" s="324">
        <v>11919814</v>
      </c>
      <c r="G66" s="436">
        <f>IF(ISBLANK(F66),"-",(F66/$D$50*$D$47*$B$68)*($B$57/$D$64))</f>
        <v>623.91834228011237</v>
      </c>
      <c r="H66" s="454">
        <f t="shared" si="0"/>
        <v>103.98639038001873</v>
      </c>
    </row>
    <row r="67" spans="1:8" ht="27" customHeight="1" x14ac:dyDescent="0.4">
      <c r="A67" s="311" t="s">
        <v>101</v>
      </c>
      <c r="B67" s="312">
        <v>1</v>
      </c>
      <c r="C67" s="700"/>
      <c r="D67" s="695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102</v>
      </c>
      <c r="B68" s="375">
        <f>(B67/B66)*(B65/B64)*(B63/B62)*(B61/B60)*B59</f>
        <v>2500</v>
      </c>
      <c r="C68" s="690" t="s">
        <v>103</v>
      </c>
      <c r="D68" s="693">
        <v>929.18</v>
      </c>
      <c r="E68" s="369">
        <v>1</v>
      </c>
      <c r="F68" s="370">
        <v>11782719</v>
      </c>
      <c r="G68" s="435">
        <f>IF(ISBLANK(F68),"-",(F68/$D$50*$D$47*$B$68)*($B$57/$D$68))</f>
        <v>620.84435364597675</v>
      </c>
      <c r="H68" s="454">
        <f t="shared" si="0"/>
        <v>103.47405894099613</v>
      </c>
    </row>
    <row r="69" spans="1:8" ht="27" customHeight="1" x14ac:dyDescent="0.4">
      <c r="A69" s="359" t="s">
        <v>104</v>
      </c>
      <c r="B69" s="376">
        <f>(D47*B68)/B56*B57</f>
        <v>934.29916666666679</v>
      </c>
      <c r="C69" s="691"/>
      <c r="D69" s="694"/>
      <c r="E69" s="371">
        <v>2</v>
      </c>
      <c r="F69" s="324">
        <v>11741475</v>
      </c>
      <c r="G69" s="436">
        <f>IF(ISBLANK(F69),"-",(F69/$D$50*$D$47*$B$68)*($B$57/$D$68))</f>
        <v>618.67116216769614</v>
      </c>
      <c r="H69" s="454">
        <f t="shared" si="0"/>
        <v>103.11186036128268</v>
      </c>
    </row>
    <row r="70" spans="1:8" ht="26.25" customHeight="1" x14ac:dyDescent="0.4">
      <c r="A70" s="696" t="s">
        <v>77</v>
      </c>
      <c r="B70" s="697"/>
      <c r="C70" s="691"/>
      <c r="D70" s="694"/>
      <c r="E70" s="371">
        <v>3</v>
      </c>
      <c r="F70" s="324">
        <v>11723445</v>
      </c>
      <c r="G70" s="436">
        <f>IF(ISBLANK(F70),"-",(F70/$D$50*$D$47*$B$68)*($B$57/$D$68))</f>
        <v>617.72114174403703</v>
      </c>
      <c r="H70" s="454">
        <f t="shared" si="0"/>
        <v>102.95352362400617</v>
      </c>
    </row>
    <row r="71" spans="1:8" ht="27" customHeight="1" x14ac:dyDescent="0.4">
      <c r="A71" s="698"/>
      <c r="B71" s="699"/>
      <c r="C71" s="692"/>
      <c r="D71" s="695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70</v>
      </c>
      <c r="G72" s="441">
        <f>AVERAGE(G60:G71)</f>
        <v>624.78109542468155</v>
      </c>
      <c r="H72" s="456">
        <f>AVERAGE(H60:H71)</f>
        <v>104.13018257078024</v>
      </c>
    </row>
    <row r="73" spans="1:8" ht="26.25" customHeight="1" x14ac:dyDescent="0.4">
      <c r="C73" s="377"/>
      <c r="D73" s="377"/>
      <c r="E73" s="377"/>
      <c r="F73" s="380" t="s">
        <v>83</v>
      </c>
      <c r="G73" s="440">
        <f>STDEV(G60:G71)/G72</f>
        <v>1.1322997195983692E-2</v>
      </c>
      <c r="H73" s="440">
        <f>STDEV(H60:H71)/H72</f>
        <v>1.1322997195983682E-2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8</v>
      </c>
      <c r="H74" s="383">
        <f>COUNT(H60:H71)</f>
        <v>8</v>
      </c>
    </row>
    <row r="76" spans="1:8" ht="26.25" customHeight="1" x14ac:dyDescent="0.3">
      <c r="A76" s="295" t="s">
        <v>105</v>
      </c>
      <c r="B76" s="384" t="s">
        <v>106</v>
      </c>
      <c r="C76" s="677" t="str">
        <f>B26</f>
        <v>Aspirin</v>
      </c>
      <c r="D76" s="677"/>
      <c r="E76" s="385" t="s">
        <v>107</v>
      </c>
      <c r="F76" s="385"/>
      <c r="G76" s="660">
        <f>H72</f>
        <v>104.13018257078024</v>
      </c>
      <c r="H76" s="387"/>
    </row>
    <row r="77" spans="1:8" ht="18.75" x14ac:dyDescent="0.3">
      <c r="A77" s="294" t="s">
        <v>108</v>
      </c>
      <c r="B77" s="294" t="s">
        <v>109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711" t="str">
        <f>B26</f>
        <v>Aspirin</v>
      </c>
      <c r="C79" s="711"/>
    </row>
    <row r="80" spans="1:8" ht="26.25" customHeight="1" x14ac:dyDescent="0.4">
      <c r="A80" s="296" t="s">
        <v>47</v>
      </c>
      <c r="B80" s="711" t="str">
        <f>B27</f>
        <v>A30 1</v>
      </c>
      <c r="C80" s="711"/>
    </row>
    <row r="81" spans="1:12" ht="27" customHeight="1" x14ac:dyDescent="0.4">
      <c r="A81" s="296" t="s">
        <v>6</v>
      </c>
      <c r="B81" s="388">
        <f>B28</f>
        <v>99.9</v>
      </c>
    </row>
    <row r="82" spans="1:12" s="14" customFormat="1" ht="27" customHeight="1" x14ac:dyDescent="0.4">
      <c r="A82" s="296" t="s">
        <v>48</v>
      </c>
      <c r="B82" s="298">
        <v>0</v>
      </c>
      <c r="C82" s="679" t="s">
        <v>49</v>
      </c>
      <c r="D82" s="680"/>
      <c r="E82" s="680"/>
      <c r="F82" s="680"/>
      <c r="G82" s="681"/>
      <c r="I82" s="299"/>
      <c r="J82" s="299"/>
      <c r="K82" s="299"/>
      <c r="L82" s="299"/>
    </row>
    <row r="83" spans="1:12" s="14" customFormat="1" ht="19.5" customHeight="1" x14ac:dyDescent="0.3">
      <c r="A83" s="296" t="s">
        <v>50</v>
      </c>
      <c r="B83" s="300">
        <f>B81-B82</f>
        <v>99.9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51</v>
      </c>
      <c r="B84" s="303">
        <v>1</v>
      </c>
      <c r="C84" s="682" t="s">
        <v>110</v>
      </c>
      <c r="D84" s="683"/>
      <c r="E84" s="683"/>
      <c r="F84" s="683"/>
      <c r="G84" s="683"/>
      <c r="H84" s="684"/>
      <c r="I84" s="299"/>
      <c r="J84" s="299"/>
      <c r="K84" s="299"/>
      <c r="L84" s="299"/>
    </row>
    <row r="85" spans="1:12" s="14" customFormat="1" ht="27" customHeight="1" x14ac:dyDescent="0.4">
      <c r="A85" s="296" t="s">
        <v>53</v>
      </c>
      <c r="B85" s="303">
        <v>1</v>
      </c>
      <c r="C85" s="682" t="s">
        <v>111</v>
      </c>
      <c r="D85" s="683"/>
      <c r="E85" s="683"/>
      <c r="F85" s="683"/>
      <c r="G85" s="683"/>
      <c r="H85" s="684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55</v>
      </c>
      <c r="B87" s="308">
        <f>B84/B85</f>
        <v>1</v>
      </c>
      <c r="C87" s="286" t="s">
        <v>56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57</v>
      </c>
      <c r="B89" s="310">
        <v>100</v>
      </c>
      <c r="D89" s="389" t="s">
        <v>58</v>
      </c>
      <c r="E89" s="390"/>
      <c r="F89" s="685" t="s">
        <v>59</v>
      </c>
      <c r="G89" s="686"/>
    </row>
    <row r="90" spans="1:12" ht="27" customHeight="1" x14ac:dyDescent="0.4">
      <c r="A90" s="311" t="s">
        <v>60</v>
      </c>
      <c r="B90" s="312">
        <v>1</v>
      </c>
      <c r="C90" s="391" t="s">
        <v>61</v>
      </c>
      <c r="D90" s="314" t="s">
        <v>62</v>
      </c>
      <c r="E90" s="315" t="s">
        <v>63</v>
      </c>
      <c r="F90" s="314" t="s">
        <v>62</v>
      </c>
      <c r="G90" s="392" t="s">
        <v>63</v>
      </c>
      <c r="I90" s="317" t="s">
        <v>64</v>
      </c>
    </row>
    <row r="91" spans="1:12" ht="26.25" customHeight="1" x14ac:dyDescent="0.4">
      <c r="A91" s="311" t="s">
        <v>65</v>
      </c>
      <c r="B91" s="312">
        <v>1</v>
      </c>
      <c r="C91" s="393">
        <v>1</v>
      </c>
      <c r="D91" s="506">
        <v>11416307</v>
      </c>
      <c r="E91" s="320">
        <f>IF(ISBLANK(D91),"-",$D$101/$D$98*D91)</f>
        <v>15236979.646312982</v>
      </c>
      <c r="F91" s="506">
        <v>14514880</v>
      </c>
      <c r="G91" s="321">
        <f>IF(ISBLANK(F91),"-",$D$101/$F$98*F91)</f>
        <v>15479461.349750334</v>
      </c>
      <c r="I91" s="322"/>
    </row>
    <row r="92" spans="1:12" ht="26.25" customHeight="1" x14ac:dyDescent="0.4">
      <c r="A92" s="311" t="s">
        <v>66</v>
      </c>
      <c r="B92" s="312">
        <v>1</v>
      </c>
      <c r="C92" s="378">
        <v>2</v>
      </c>
      <c r="D92" s="511">
        <v>11369294</v>
      </c>
      <c r="E92" s="325">
        <f>IF(ISBLANK(D92),"-",$D$101/$D$98*D92)</f>
        <v>15174232.899566235</v>
      </c>
      <c r="F92" s="511">
        <v>14339873</v>
      </c>
      <c r="G92" s="326">
        <f>IF(ISBLANK(F92),"-",$D$101/$F$98*F92)</f>
        <v>15292824.319858544</v>
      </c>
      <c r="I92" s="687">
        <f>ABS((F96/D96*D95)-F95)/D95</f>
        <v>1.3931215491688223E-2</v>
      </c>
    </row>
    <row r="93" spans="1:12" ht="26.25" customHeight="1" x14ac:dyDescent="0.4">
      <c r="A93" s="311" t="s">
        <v>67</v>
      </c>
      <c r="B93" s="312">
        <v>1</v>
      </c>
      <c r="C93" s="378">
        <v>3</v>
      </c>
      <c r="D93" s="511">
        <v>11339692</v>
      </c>
      <c r="E93" s="325">
        <f>IF(ISBLANK(D93),"-",$D$101/$D$98*D93)</f>
        <v>15134724.057390725</v>
      </c>
      <c r="F93" s="511">
        <v>14328458</v>
      </c>
      <c r="G93" s="326">
        <f>IF(ISBLANK(F93),"-",$D$101/$F$98*F93)</f>
        <v>15280650.739966227</v>
      </c>
      <c r="I93" s="687"/>
    </row>
    <row r="94" spans="1:12" ht="27" customHeight="1" x14ac:dyDescent="0.4">
      <c r="A94" s="311" t="s">
        <v>68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69</v>
      </c>
      <c r="B95" s="312">
        <v>1</v>
      </c>
      <c r="C95" s="396" t="s">
        <v>70</v>
      </c>
      <c r="D95" s="397">
        <f>AVERAGE(D91:D94)</f>
        <v>11375097.666666666</v>
      </c>
      <c r="E95" s="335">
        <f>AVERAGE(E91:E94)</f>
        <v>15181978.867756648</v>
      </c>
      <c r="F95" s="398">
        <f>AVERAGE(F91:F94)</f>
        <v>14394403.666666666</v>
      </c>
      <c r="G95" s="399">
        <f>AVERAGE(G91:G94)</f>
        <v>15350978.803191701</v>
      </c>
    </row>
    <row r="96" spans="1:12" ht="26.25" customHeight="1" x14ac:dyDescent="0.4">
      <c r="A96" s="311" t="s">
        <v>71</v>
      </c>
      <c r="B96" s="297">
        <v>1</v>
      </c>
      <c r="C96" s="400" t="s">
        <v>112</v>
      </c>
      <c r="D96" s="401">
        <v>20</v>
      </c>
      <c r="E96" s="327"/>
      <c r="F96" s="339">
        <v>25.03</v>
      </c>
    </row>
    <row r="97" spans="1:10" ht="26.25" customHeight="1" x14ac:dyDescent="0.4">
      <c r="A97" s="311" t="s">
        <v>73</v>
      </c>
      <c r="B97" s="297">
        <v>1</v>
      </c>
      <c r="C97" s="402" t="s">
        <v>113</v>
      </c>
      <c r="D97" s="403">
        <f>D96*$B$87</f>
        <v>20</v>
      </c>
      <c r="E97" s="342"/>
      <c r="F97" s="341">
        <f>F96*$B$87</f>
        <v>25.03</v>
      </c>
    </row>
    <row r="98" spans="1:10" ht="19.5" customHeight="1" x14ac:dyDescent="0.3">
      <c r="A98" s="311" t="s">
        <v>75</v>
      </c>
      <c r="B98" s="404">
        <f>(B97/B96)*(B95/B94)*(B93/B92)*(B91/B90)*B89</f>
        <v>100</v>
      </c>
      <c r="C98" s="402" t="s">
        <v>114</v>
      </c>
      <c r="D98" s="405">
        <f>D97*$B$83/100</f>
        <v>19.98</v>
      </c>
      <c r="E98" s="345"/>
      <c r="F98" s="344">
        <f>F97*$B$83/100</f>
        <v>25.004970000000004</v>
      </c>
    </row>
    <row r="99" spans="1:10" ht="19.5" customHeight="1" x14ac:dyDescent="0.3">
      <c r="A99" s="673" t="s">
        <v>77</v>
      </c>
      <c r="B99" s="688"/>
      <c r="C99" s="402" t="s">
        <v>115</v>
      </c>
      <c r="D99" s="406">
        <f>D98/$B$98</f>
        <v>0.19980000000000001</v>
      </c>
      <c r="E99" s="345"/>
      <c r="F99" s="348">
        <f>F98/$B$98</f>
        <v>0.25004970000000004</v>
      </c>
      <c r="G99" s="407"/>
      <c r="H99" s="337"/>
    </row>
    <row r="100" spans="1:10" ht="19.5" customHeight="1" x14ac:dyDescent="0.3">
      <c r="A100" s="675"/>
      <c r="B100" s="689"/>
      <c r="C100" s="402" t="s">
        <v>79</v>
      </c>
      <c r="D100" s="408">
        <f>$B$56/$B$116</f>
        <v>0.26666666666666666</v>
      </c>
      <c r="F100" s="353"/>
      <c r="G100" s="409"/>
      <c r="H100" s="337"/>
    </row>
    <row r="101" spans="1:10" ht="18.75" x14ac:dyDescent="0.3">
      <c r="C101" s="402" t="s">
        <v>80</v>
      </c>
      <c r="D101" s="403">
        <f>D100*$B$98</f>
        <v>26.666666666666668</v>
      </c>
      <c r="F101" s="353"/>
      <c r="G101" s="407"/>
      <c r="H101" s="337"/>
    </row>
    <row r="102" spans="1:10" ht="19.5" customHeight="1" x14ac:dyDescent="0.3">
      <c r="C102" s="410" t="s">
        <v>81</v>
      </c>
      <c r="D102" s="411">
        <f>D101/B34</f>
        <v>26.666666666666668</v>
      </c>
      <c r="F102" s="357"/>
      <c r="G102" s="407"/>
      <c r="H102" s="337"/>
      <c r="J102" s="412"/>
    </row>
    <row r="103" spans="1:10" ht="18.75" x14ac:dyDescent="0.3">
      <c r="C103" s="413" t="s">
        <v>116</v>
      </c>
      <c r="D103" s="414">
        <f>AVERAGE(E91:E94,G91:G94)</f>
        <v>15266478.835474176</v>
      </c>
      <c r="F103" s="357"/>
      <c r="G103" s="415"/>
      <c r="H103" s="337"/>
      <c r="J103" s="416"/>
    </row>
    <row r="104" spans="1:10" ht="18.75" x14ac:dyDescent="0.3">
      <c r="C104" s="380" t="s">
        <v>83</v>
      </c>
      <c r="D104" s="417">
        <f>STDEV(E91:E94,G91:G94)/D103</f>
        <v>7.9145023432047046E-3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117</v>
      </c>
      <c r="B107" s="310">
        <v>900</v>
      </c>
      <c r="C107" s="457" t="s">
        <v>118</v>
      </c>
      <c r="D107" s="457" t="s">
        <v>62</v>
      </c>
      <c r="E107" s="457" t="s">
        <v>119</v>
      </c>
      <c r="F107" s="419" t="s">
        <v>120</v>
      </c>
    </row>
    <row r="108" spans="1:10" ht="26.25" customHeight="1" x14ac:dyDescent="0.4">
      <c r="A108" s="311" t="s">
        <v>121</v>
      </c>
      <c r="B108" s="312">
        <v>10</v>
      </c>
      <c r="C108" s="462">
        <v>1</v>
      </c>
      <c r="D108" s="463">
        <v>15039919</v>
      </c>
      <c r="E108" s="437">
        <f t="shared" ref="E108:E113" si="1">IF(ISBLANK(D108),"-",D108/$D$103*$D$100*$B$116)</f>
        <v>591.09579211097218</v>
      </c>
      <c r="F108" s="464">
        <f t="shared" ref="F108:F113" si="2">IF(ISBLANK(D108), "-", (E108/$B$56)*100)</f>
        <v>98.515965351828697</v>
      </c>
    </row>
    <row r="109" spans="1:10" ht="26.25" customHeight="1" x14ac:dyDescent="0.4">
      <c r="A109" s="311" t="s">
        <v>94</v>
      </c>
      <c r="B109" s="312">
        <v>25</v>
      </c>
      <c r="C109" s="458">
        <v>2</v>
      </c>
      <c r="D109" s="460">
        <v>15047792</v>
      </c>
      <c r="E109" s="438">
        <f t="shared" si="1"/>
        <v>591.40521513188673</v>
      </c>
      <c r="F109" s="465">
        <f t="shared" si="2"/>
        <v>98.56753585531446</v>
      </c>
    </row>
    <row r="110" spans="1:10" ht="26.25" customHeight="1" x14ac:dyDescent="0.4">
      <c r="A110" s="311" t="s">
        <v>95</v>
      </c>
      <c r="B110" s="312">
        <v>1</v>
      </c>
      <c r="C110" s="458">
        <v>3</v>
      </c>
      <c r="D110" s="460">
        <v>14638576</v>
      </c>
      <c r="E110" s="438">
        <f t="shared" si="1"/>
        <v>575.3222923671774</v>
      </c>
      <c r="F110" s="465">
        <f t="shared" si="2"/>
        <v>95.887048727862904</v>
      </c>
    </row>
    <row r="111" spans="1:10" ht="26.25" customHeight="1" x14ac:dyDescent="0.4">
      <c r="A111" s="311" t="s">
        <v>96</v>
      </c>
      <c r="B111" s="312">
        <v>1</v>
      </c>
      <c r="C111" s="458">
        <v>4</v>
      </c>
      <c r="D111" s="460">
        <v>14408447</v>
      </c>
      <c r="E111" s="438">
        <f t="shared" si="1"/>
        <v>566.27780991067573</v>
      </c>
      <c r="F111" s="465">
        <f t="shared" si="2"/>
        <v>94.379634985112631</v>
      </c>
    </row>
    <row r="112" spans="1:10" ht="26.25" customHeight="1" x14ac:dyDescent="0.4">
      <c r="A112" s="311" t="s">
        <v>97</v>
      </c>
      <c r="B112" s="312">
        <v>1</v>
      </c>
      <c r="C112" s="458">
        <v>5</v>
      </c>
      <c r="D112" s="460">
        <v>14215461</v>
      </c>
      <c r="E112" s="438">
        <f t="shared" si="1"/>
        <v>558.69311397339527</v>
      </c>
      <c r="F112" s="465">
        <f t="shared" si="2"/>
        <v>93.115518995565878</v>
      </c>
    </row>
    <row r="113" spans="1:10" ht="27" customHeight="1" x14ac:dyDescent="0.4">
      <c r="A113" s="311" t="s">
        <v>99</v>
      </c>
      <c r="B113" s="312">
        <v>1</v>
      </c>
      <c r="C113" s="459">
        <v>6</v>
      </c>
      <c r="D113" s="461">
        <v>15112120</v>
      </c>
      <c r="E113" s="439">
        <f t="shared" si="1"/>
        <v>593.93342090978445</v>
      </c>
      <c r="F113" s="466">
        <f t="shared" si="2"/>
        <v>98.988903484964069</v>
      </c>
    </row>
    <row r="114" spans="1:10" ht="27" customHeight="1" x14ac:dyDescent="0.4">
      <c r="A114" s="311" t="s">
        <v>100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101</v>
      </c>
      <c r="B115" s="312">
        <v>1</v>
      </c>
      <c r="C115" s="420"/>
      <c r="D115" s="444" t="s">
        <v>70</v>
      </c>
      <c r="E115" s="446">
        <f>AVERAGE(E108:E113)</f>
        <v>579.45460740064857</v>
      </c>
      <c r="F115" s="468">
        <f>AVERAGE(F108:F113)</f>
        <v>96.575767900108119</v>
      </c>
    </row>
    <row r="116" spans="1:10" ht="27" customHeight="1" x14ac:dyDescent="0.4">
      <c r="A116" s="311" t="s">
        <v>102</v>
      </c>
      <c r="B116" s="343">
        <f>(B115/B114)*(B113/B112)*(B111/B110)*(B109/B108)*B107</f>
        <v>2250</v>
      </c>
      <c r="C116" s="421"/>
      <c r="D116" s="445" t="s">
        <v>83</v>
      </c>
      <c r="E116" s="443">
        <f>STDEV(E108:E113)/E115</f>
        <v>2.5709941338761887E-2</v>
      </c>
      <c r="F116" s="422">
        <f>STDEV(F108:F113)/F115</f>
        <v>2.5709941338761859E-2</v>
      </c>
      <c r="I116" s="285"/>
    </row>
    <row r="117" spans="1:10" ht="27" customHeight="1" x14ac:dyDescent="0.4">
      <c r="A117" s="673" t="s">
        <v>77</v>
      </c>
      <c r="B117" s="674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675"/>
      <c r="B118" s="676"/>
      <c r="C118" s="285"/>
      <c r="D118" s="447"/>
      <c r="E118" s="701" t="s">
        <v>122</v>
      </c>
      <c r="F118" s="702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123</v>
      </c>
      <c r="E119" s="450">
        <f>MIN(E108:E113)</f>
        <v>558.69311397339527</v>
      </c>
      <c r="F119" s="469">
        <f>MIN(F108:F113)</f>
        <v>93.115518995565878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124</v>
      </c>
      <c r="E120" s="451">
        <f>MAX(E108:E113)</f>
        <v>593.93342090978445</v>
      </c>
      <c r="F120" s="470">
        <f>MAX(F108:F113)</f>
        <v>98.988903484964069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105</v>
      </c>
      <c r="B124" s="384" t="s">
        <v>125</v>
      </c>
      <c r="C124" s="677" t="str">
        <f>B26</f>
        <v>Aspirin</v>
      </c>
      <c r="D124" s="677"/>
      <c r="E124" s="385" t="s">
        <v>126</v>
      </c>
      <c r="F124" s="385"/>
      <c r="G124" s="471">
        <f>F115</f>
        <v>96.575767900108119</v>
      </c>
      <c r="H124" s="285"/>
      <c r="I124" s="285"/>
    </row>
    <row r="125" spans="1:10" ht="45.75" customHeight="1" x14ac:dyDescent="0.65">
      <c r="A125" s="295"/>
      <c r="B125" s="384" t="s">
        <v>127</v>
      </c>
      <c r="C125" s="296" t="s">
        <v>128</v>
      </c>
      <c r="D125" s="471">
        <f>MIN(F108:F113)</f>
        <v>93.115518995565878</v>
      </c>
      <c r="E125" s="396" t="s">
        <v>129</v>
      </c>
      <c r="F125" s="471">
        <f>MAX(F108:F113)</f>
        <v>98.988903484964069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678" t="s">
        <v>25</v>
      </c>
      <c r="C127" s="678"/>
      <c r="E127" s="391" t="s">
        <v>26</v>
      </c>
      <c r="F127" s="426"/>
      <c r="G127" s="678" t="s">
        <v>27</v>
      </c>
      <c r="H127" s="678"/>
    </row>
    <row r="128" spans="1:10" ht="69.95" customHeight="1" x14ac:dyDescent="0.3">
      <c r="A128" s="427" t="s">
        <v>28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29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2" zoomScale="60" zoomScaleNormal="40" zoomScalePageLayoutView="55" workbookViewId="0">
      <selection activeCell="F61" sqref="F6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1" t="s">
        <v>44</v>
      </c>
      <c r="B1" s="671"/>
      <c r="C1" s="671"/>
      <c r="D1" s="671"/>
      <c r="E1" s="671"/>
      <c r="F1" s="671"/>
      <c r="G1" s="671"/>
      <c r="H1" s="671"/>
      <c r="I1" s="671"/>
    </row>
    <row r="2" spans="1:9" ht="18.75" customHeight="1" x14ac:dyDescent="0.25">
      <c r="A2" s="671"/>
      <c r="B2" s="671"/>
      <c r="C2" s="671"/>
      <c r="D2" s="671"/>
      <c r="E2" s="671"/>
      <c r="F2" s="671"/>
      <c r="G2" s="671"/>
      <c r="H2" s="671"/>
      <c r="I2" s="671"/>
    </row>
    <row r="3" spans="1:9" ht="18.75" customHeight="1" x14ac:dyDescent="0.25">
      <c r="A3" s="671"/>
      <c r="B3" s="671"/>
      <c r="C3" s="671"/>
      <c r="D3" s="671"/>
      <c r="E3" s="671"/>
      <c r="F3" s="671"/>
      <c r="G3" s="671"/>
      <c r="H3" s="671"/>
      <c r="I3" s="671"/>
    </row>
    <row r="4" spans="1:9" ht="18.75" customHeight="1" x14ac:dyDescent="0.25">
      <c r="A4" s="671"/>
      <c r="B4" s="671"/>
      <c r="C4" s="671"/>
      <c r="D4" s="671"/>
      <c r="E4" s="671"/>
      <c r="F4" s="671"/>
      <c r="G4" s="671"/>
      <c r="H4" s="671"/>
      <c r="I4" s="671"/>
    </row>
    <row r="5" spans="1:9" ht="18.75" customHeight="1" x14ac:dyDescent="0.25">
      <c r="A5" s="671"/>
      <c r="B5" s="671"/>
      <c r="C5" s="671"/>
      <c r="D5" s="671"/>
      <c r="E5" s="671"/>
      <c r="F5" s="671"/>
      <c r="G5" s="671"/>
      <c r="H5" s="671"/>
      <c r="I5" s="671"/>
    </row>
    <row r="6" spans="1:9" ht="18.75" customHeight="1" x14ac:dyDescent="0.25">
      <c r="A6" s="671"/>
      <c r="B6" s="671"/>
      <c r="C6" s="671"/>
      <c r="D6" s="671"/>
      <c r="E6" s="671"/>
      <c r="F6" s="671"/>
      <c r="G6" s="671"/>
      <c r="H6" s="671"/>
      <c r="I6" s="671"/>
    </row>
    <row r="7" spans="1:9" ht="18.75" customHeight="1" x14ac:dyDescent="0.25">
      <c r="A7" s="671"/>
      <c r="B7" s="671"/>
      <c r="C7" s="671"/>
      <c r="D7" s="671"/>
      <c r="E7" s="671"/>
      <c r="F7" s="671"/>
      <c r="G7" s="671"/>
      <c r="H7" s="671"/>
      <c r="I7" s="671"/>
    </row>
    <row r="8" spans="1:9" x14ac:dyDescent="0.25">
      <c r="A8" s="672" t="s">
        <v>45</v>
      </c>
      <c r="B8" s="672"/>
      <c r="C8" s="672"/>
      <c r="D8" s="672"/>
      <c r="E8" s="672"/>
      <c r="F8" s="672"/>
      <c r="G8" s="672"/>
      <c r="H8" s="672"/>
      <c r="I8" s="672"/>
    </row>
    <row r="9" spans="1:9" x14ac:dyDescent="0.25">
      <c r="A9" s="672"/>
      <c r="B9" s="672"/>
      <c r="C9" s="672"/>
      <c r="D9" s="672"/>
      <c r="E9" s="672"/>
      <c r="F9" s="672"/>
      <c r="G9" s="672"/>
      <c r="H9" s="672"/>
      <c r="I9" s="672"/>
    </row>
    <row r="10" spans="1:9" x14ac:dyDescent="0.25">
      <c r="A10" s="672"/>
      <c r="B10" s="672"/>
      <c r="C10" s="672"/>
      <c r="D10" s="672"/>
      <c r="E10" s="672"/>
      <c r="F10" s="672"/>
      <c r="G10" s="672"/>
      <c r="H10" s="672"/>
      <c r="I10" s="672"/>
    </row>
    <row r="11" spans="1:9" x14ac:dyDescent="0.25">
      <c r="A11" s="672"/>
      <c r="B11" s="672"/>
      <c r="C11" s="672"/>
      <c r="D11" s="672"/>
      <c r="E11" s="672"/>
      <c r="F11" s="672"/>
      <c r="G11" s="672"/>
      <c r="H11" s="672"/>
      <c r="I11" s="672"/>
    </row>
    <row r="12" spans="1:9" x14ac:dyDescent="0.25">
      <c r="A12" s="672"/>
      <c r="B12" s="672"/>
      <c r="C12" s="672"/>
      <c r="D12" s="672"/>
      <c r="E12" s="672"/>
      <c r="F12" s="672"/>
      <c r="G12" s="672"/>
      <c r="H12" s="672"/>
      <c r="I12" s="672"/>
    </row>
    <row r="13" spans="1:9" x14ac:dyDescent="0.25">
      <c r="A13" s="672"/>
      <c r="B13" s="672"/>
      <c r="C13" s="672"/>
      <c r="D13" s="672"/>
      <c r="E13" s="672"/>
      <c r="F13" s="672"/>
      <c r="G13" s="672"/>
      <c r="H13" s="672"/>
      <c r="I13" s="672"/>
    </row>
    <row r="14" spans="1:9" x14ac:dyDescent="0.25">
      <c r="A14" s="672"/>
      <c r="B14" s="672"/>
      <c r="C14" s="672"/>
      <c r="D14" s="672"/>
      <c r="E14" s="672"/>
      <c r="F14" s="672"/>
      <c r="G14" s="672"/>
      <c r="H14" s="672"/>
      <c r="I14" s="672"/>
    </row>
    <row r="15" spans="1:9" ht="19.5" customHeight="1" x14ac:dyDescent="0.3">
      <c r="A15" s="472"/>
    </row>
    <row r="16" spans="1:9" ht="19.5" customHeight="1" x14ac:dyDescent="0.3">
      <c r="A16" s="704" t="s">
        <v>30</v>
      </c>
      <c r="B16" s="705"/>
      <c r="C16" s="705"/>
      <c r="D16" s="705"/>
      <c r="E16" s="705"/>
      <c r="F16" s="705"/>
      <c r="G16" s="705"/>
      <c r="H16" s="706"/>
    </row>
    <row r="17" spans="1:14" ht="20.25" customHeight="1" x14ac:dyDescent="0.25">
      <c r="A17" s="707" t="s">
        <v>46</v>
      </c>
      <c r="B17" s="707"/>
      <c r="C17" s="707"/>
      <c r="D17" s="707"/>
      <c r="E17" s="707"/>
      <c r="F17" s="707"/>
      <c r="G17" s="707"/>
      <c r="H17" s="707"/>
    </row>
    <row r="18" spans="1:14" ht="26.25" customHeight="1" x14ac:dyDescent="0.4">
      <c r="A18" s="474" t="s">
        <v>32</v>
      </c>
      <c r="B18" s="703" t="s">
        <v>5</v>
      </c>
      <c r="C18" s="703"/>
      <c r="D18" s="620"/>
      <c r="E18" s="475"/>
      <c r="F18" s="476"/>
      <c r="G18" s="476"/>
      <c r="H18" s="476"/>
    </row>
    <row r="19" spans="1:14" ht="26.25" customHeight="1" x14ac:dyDescent="0.4">
      <c r="A19" s="474" t="s">
        <v>33</v>
      </c>
      <c r="B19" s="477" t="s">
        <v>7</v>
      </c>
      <c r="C19" s="629">
        <v>1</v>
      </c>
      <c r="D19" s="476"/>
      <c r="E19" s="476"/>
      <c r="F19" s="476"/>
      <c r="G19" s="476"/>
      <c r="H19" s="476"/>
    </row>
    <row r="20" spans="1:14" ht="26.25" customHeight="1" x14ac:dyDescent="0.4">
      <c r="A20" s="474" t="s">
        <v>34</v>
      </c>
      <c r="B20" s="708" t="s">
        <v>9</v>
      </c>
      <c r="C20" s="708"/>
      <c r="D20" s="476"/>
      <c r="E20" s="476"/>
      <c r="F20" s="476"/>
      <c r="G20" s="476"/>
      <c r="H20" s="476"/>
    </row>
    <row r="21" spans="1:14" ht="26.25" customHeight="1" x14ac:dyDescent="0.4">
      <c r="A21" s="474" t="s">
        <v>35</v>
      </c>
      <c r="B21" s="708" t="s">
        <v>11</v>
      </c>
      <c r="C21" s="708"/>
      <c r="D21" s="708"/>
      <c r="E21" s="708"/>
      <c r="F21" s="708"/>
      <c r="G21" s="708"/>
      <c r="H21" s="708"/>
      <c r="I21" s="478"/>
    </row>
    <row r="22" spans="1:14" ht="26.25" customHeight="1" x14ac:dyDescent="0.4">
      <c r="A22" s="474" t="s">
        <v>36</v>
      </c>
      <c r="B22" s="479" t="s">
        <v>12</v>
      </c>
      <c r="C22" s="476"/>
      <c r="D22" s="476"/>
      <c r="E22" s="476"/>
      <c r="F22" s="476"/>
      <c r="G22" s="476"/>
      <c r="H22" s="476"/>
    </row>
    <row r="23" spans="1:14" ht="26.25" customHeight="1" x14ac:dyDescent="0.4">
      <c r="A23" s="474" t="s">
        <v>37</v>
      </c>
      <c r="B23" s="479"/>
      <c r="C23" s="476"/>
      <c r="D23" s="476"/>
      <c r="E23" s="476"/>
      <c r="F23" s="476"/>
      <c r="G23" s="476"/>
      <c r="H23" s="476"/>
    </row>
    <row r="24" spans="1:14" ht="18.75" x14ac:dyDescent="0.3">
      <c r="A24" s="474"/>
      <c r="B24" s="480"/>
    </row>
    <row r="25" spans="1:14" ht="18.75" x14ac:dyDescent="0.3">
      <c r="A25" s="481" t="s">
        <v>1</v>
      </c>
      <c r="B25" s="480"/>
    </row>
    <row r="26" spans="1:14" ht="26.25" customHeight="1" x14ac:dyDescent="0.4">
      <c r="A26" s="482" t="s">
        <v>4</v>
      </c>
      <c r="B26" s="703" t="s">
        <v>136</v>
      </c>
      <c r="C26" s="703"/>
    </row>
    <row r="27" spans="1:14" ht="26.25" customHeight="1" x14ac:dyDescent="0.4">
      <c r="A27" s="483" t="s">
        <v>47</v>
      </c>
      <c r="B27" s="709" t="s">
        <v>137</v>
      </c>
      <c r="C27" s="709"/>
    </row>
    <row r="28" spans="1:14" ht="27" customHeight="1" x14ac:dyDescent="0.4">
      <c r="A28" s="483" t="s">
        <v>6</v>
      </c>
      <c r="B28" s="484">
        <v>99.3</v>
      </c>
    </row>
    <row r="29" spans="1:14" s="14" customFormat="1" ht="27" customHeight="1" x14ac:dyDescent="0.4">
      <c r="A29" s="483" t="s">
        <v>48</v>
      </c>
      <c r="B29" s="485">
        <v>0</v>
      </c>
      <c r="C29" s="679" t="s">
        <v>49</v>
      </c>
      <c r="D29" s="680"/>
      <c r="E29" s="680"/>
      <c r="F29" s="680"/>
      <c r="G29" s="681"/>
      <c r="I29" s="486"/>
      <c r="J29" s="486"/>
      <c r="K29" s="486"/>
      <c r="L29" s="486"/>
    </row>
    <row r="30" spans="1:14" s="14" customFormat="1" ht="19.5" customHeight="1" x14ac:dyDescent="0.3">
      <c r="A30" s="483" t="s">
        <v>50</v>
      </c>
      <c r="B30" s="487">
        <f>B28-B29</f>
        <v>99.3</v>
      </c>
      <c r="C30" s="488"/>
      <c r="D30" s="488"/>
      <c r="E30" s="488"/>
      <c r="F30" s="488"/>
      <c r="G30" s="489"/>
      <c r="I30" s="486"/>
      <c r="J30" s="486"/>
      <c r="K30" s="486"/>
      <c r="L30" s="486"/>
    </row>
    <row r="31" spans="1:14" s="14" customFormat="1" ht="27" customHeight="1" x14ac:dyDescent="0.4">
      <c r="A31" s="483" t="s">
        <v>51</v>
      </c>
      <c r="B31" s="490">
        <v>1</v>
      </c>
      <c r="C31" s="682" t="s">
        <v>52</v>
      </c>
      <c r="D31" s="683"/>
      <c r="E31" s="683"/>
      <c r="F31" s="683"/>
      <c r="G31" s="683"/>
      <c r="H31" s="684"/>
      <c r="I31" s="486"/>
      <c r="J31" s="486"/>
      <c r="K31" s="486"/>
      <c r="L31" s="486"/>
    </row>
    <row r="32" spans="1:14" s="14" customFormat="1" ht="27" customHeight="1" x14ac:dyDescent="0.4">
      <c r="A32" s="483" t="s">
        <v>53</v>
      </c>
      <c r="B32" s="490">
        <v>1</v>
      </c>
      <c r="C32" s="682" t="s">
        <v>54</v>
      </c>
      <c r="D32" s="683"/>
      <c r="E32" s="683"/>
      <c r="F32" s="683"/>
      <c r="G32" s="683"/>
      <c r="H32" s="684"/>
      <c r="I32" s="486"/>
      <c r="J32" s="486"/>
      <c r="K32" s="486"/>
      <c r="L32" s="491"/>
      <c r="M32" s="491"/>
      <c r="N32" s="492"/>
    </row>
    <row r="33" spans="1:14" s="14" customFormat="1" ht="17.25" customHeight="1" x14ac:dyDescent="0.3">
      <c r="A33" s="483"/>
      <c r="B33" s="493"/>
      <c r="C33" s="494"/>
      <c r="D33" s="494"/>
      <c r="E33" s="494"/>
      <c r="F33" s="494"/>
      <c r="G33" s="494"/>
      <c r="H33" s="494"/>
      <c r="I33" s="486"/>
      <c r="J33" s="486"/>
      <c r="K33" s="486"/>
      <c r="L33" s="491"/>
      <c r="M33" s="491"/>
      <c r="N33" s="492"/>
    </row>
    <row r="34" spans="1:14" s="14" customFormat="1" ht="18.75" x14ac:dyDescent="0.3">
      <c r="A34" s="483" t="s">
        <v>55</v>
      </c>
      <c r="B34" s="495">
        <f>B31/B32</f>
        <v>1</v>
      </c>
      <c r="C34" s="473" t="s">
        <v>56</v>
      </c>
      <c r="D34" s="473"/>
      <c r="E34" s="473"/>
      <c r="F34" s="473"/>
      <c r="G34" s="473"/>
      <c r="I34" s="486"/>
      <c r="J34" s="486"/>
      <c r="K34" s="486"/>
      <c r="L34" s="491"/>
      <c r="M34" s="491"/>
      <c r="N34" s="492"/>
    </row>
    <row r="35" spans="1:14" s="14" customFormat="1" ht="19.5" customHeight="1" x14ac:dyDescent="0.3">
      <c r="A35" s="483"/>
      <c r="B35" s="487"/>
      <c r="G35" s="473"/>
      <c r="I35" s="486"/>
      <c r="J35" s="486"/>
      <c r="K35" s="486"/>
      <c r="L35" s="491"/>
      <c r="M35" s="491"/>
      <c r="N35" s="492"/>
    </row>
    <row r="36" spans="1:14" s="14" customFormat="1" ht="27" customHeight="1" x14ac:dyDescent="0.4">
      <c r="A36" s="496" t="s">
        <v>57</v>
      </c>
      <c r="B36" s="497">
        <v>25</v>
      </c>
      <c r="C36" s="473"/>
      <c r="D36" s="685" t="s">
        <v>58</v>
      </c>
      <c r="E36" s="710"/>
      <c r="F36" s="685" t="s">
        <v>59</v>
      </c>
      <c r="G36" s="686"/>
      <c r="J36" s="486"/>
      <c r="K36" s="486"/>
      <c r="L36" s="491"/>
      <c r="M36" s="491"/>
      <c r="N36" s="492"/>
    </row>
    <row r="37" spans="1:14" s="14" customFormat="1" ht="27" customHeight="1" x14ac:dyDescent="0.4">
      <c r="A37" s="498" t="s">
        <v>60</v>
      </c>
      <c r="B37" s="499">
        <v>2</v>
      </c>
      <c r="C37" s="500" t="s">
        <v>61</v>
      </c>
      <c r="D37" s="501" t="s">
        <v>62</v>
      </c>
      <c r="E37" s="502" t="s">
        <v>63</v>
      </c>
      <c r="F37" s="501" t="s">
        <v>62</v>
      </c>
      <c r="G37" s="503" t="s">
        <v>63</v>
      </c>
      <c r="I37" s="504" t="s">
        <v>64</v>
      </c>
      <c r="J37" s="486"/>
      <c r="K37" s="486"/>
      <c r="L37" s="491"/>
      <c r="M37" s="491"/>
      <c r="N37" s="492"/>
    </row>
    <row r="38" spans="1:14" s="14" customFormat="1" ht="26.25" customHeight="1" x14ac:dyDescent="0.4">
      <c r="A38" s="498" t="s">
        <v>65</v>
      </c>
      <c r="B38" s="499">
        <v>100</v>
      </c>
      <c r="C38" s="505">
        <v>1</v>
      </c>
      <c r="D38" s="506">
        <v>9716326</v>
      </c>
      <c r="E38" s="507">
        <f>IF(ISBLANK(D38),"-",$D$48/$D$45*D38)</f>
        <v>9426608.6109510306</v>
      </c>
      <c r="F38" s="506">
        <v>9151518</v>
      </c>
      <c r="G38" s="508">
        <f>IF(ISBLANK(F38),"-",$D$48/$F$45*F38)</f>
        <v>9676638.1892905962</v>
      </c>
      <c r="I38" s="509"/>
      <c r="J38" s="486"/>
      <c r="K38" s="486"/>
      <c r="L38" s="491"/>
      <c r="M38" s="491"/>
      <c r="N38" s="492"/>
    </row>
    <row r="39" spans="1:14" s="14" customFormat="1" ht="26.25" customHeight="1" x14ac:dyDescent="0.4">
      <c r="A39" s="498" t="s">
        <v>66</v>
      </c>
      <c r="B39" s="499">
        <v>1</v>
      </c>
      <c r="C39" s="510">
        <v>2</v>
      </c>
      <c r="D39" s="511">
        <v>9691791</v>
      </c>
      <c r="E39" s="512">
        <f>IF(ISBLANK(D39),"-",$D$48/$D$45*D39)</f>
        <v>9402805.1854309645</v>
      </c>
      <c r="F39" s="511">
        <v>9039926</v>
      </c>
      <c r="G39" s="513">
        <f>IF(ISBLANK(F39),"-",$D$48/$F$45*F39)</f>
        <v>9558642.9661134891</v>
      </c>
      <c r="I39" s="687">
        <f>ABS((F43/D43*D42)-F42)/D42</f>
        <v>1.8642969640469166E-2</v>
      </c>
      <c r="J39" s="486"/>
      <c r="K39" s="486"/>
      <c r="L39" s="491"/>
      <c r="M39" s="491"/>
      <c r="N39" s="492"/>
    </row>
    <row r="40" spans="1:14" ht="26.25" customHeight="1" x14ac:dyDescent="0.4">
      <c r="A40" s="498" t="s">
        <v>67</v>
      </c>
      <c r="B40" s="499">
        <v>1</v>
      </c>
      <c r="C40" s="510">
        <v>3</v>
      </c>
      <c r="D40" s="511">
        <v>9683244</v>
      </c>
      <c r="E40" s="512">
        <f>IF(ISBLANK(D40),"-",$D$48/$D$45*D40)</f>
        <v>9394513.0363410916</v>
      </c>
      <c r="F40" s="511">
        <v>9043210</v>
      </c>
      <c r="G40" s="513">
        <f>IF(ISBLANK(F40),"-",$D$48/$F$45*F40)</f>
        <v>9562115.4042175971</v>
      </c>
      <c r="I40" s="687"/>
      <c r="L40" s="491"/>
      <c r="M40" s="491"/>
      <c r="N40" s="514"/>
    </row>
    <row r="41" spans="1:14" ht="27" customHeight="1" x14ac:dyDescent="0.4">
      <c r="A41" s="498" t="s">
        <v>68</v>
      </c>
      <c r="B41" s="499">
        <v>1</v>
      </c>
      <c r="C41" s="515">
        <v>4</v>
      </c>
      <c r="D41" s="516"/>
      <c r="E41" s="517" t="str">
        <f>IF(ISBLANK(D41),"-",$D$48/$D$45*D41)</f>
        <v>-</v>
      </c>
      <c r="F41" s="516"/>
      <c r="G41" s="518" t="str">
        <f>IF(ISBLANK(F41),"-",$D$48/$F$45*F41)</f>
        <v>-</v>
      </c>
      <c r="I41" s="519"/>
      <c r="L41" s="491"/>
      <c r="M41" s="491"/>
      <c r="N41" s="514"/>
    </row>
    <row r="42" spans="1:14" ht="27" customHeight="1" x14ac:dyDescent="0.4">
      <c r="A42" s="498" t="s">
        <v>69</v>
      </c>
      <c r="B42" s="499">
        <v>1</v>
      </c>
      <c r="C42" s="520" t="s">
        <v>70</v>
      </c>
      <c r="D42" s="521">
        <f>AVERAGE(D38:D41)</f>
        <v>9697120.333333334</v>
      </c>
      <c r="E42" s="522">
        <f>AVERAGE(E38:E41)</f>
        <v>9407975.6109076962</v>
      </c>
      <c r="F42" s="521">
        <f>AVERAGE(F38:F41)</f>
        <v>9078218</v>
      </c>
      <c r="G42" s="523">
        <f>AVERAGE(G38:G41)</f>
        <v>9599132.1865405608</v>
      </c>
      <c r="H42" s="524"/>
    </row>
    <row r="43" spans="1:14" ht="26.25" customHeight="1" x14ac:dyDescent="0.4">
      <c r="A43" s="498" t="s">
        <v>71</v>
      </c>
      <c r="B43" s="499">
        <v>1</v>
      </c>
      <c r="C43" s="525" t="s">
        <v>72</v>
      </c>
      <c r="D43" s="526">
        <v>25.95</v>
      </c>
      <c r="E43" s="514"/>
      <c r="F43" s="526">
        <v>23.81</v>
      </c>
      <c r="H43" s="524"/>
    </row>
    <row r="44" spans="1:14" ht="26.25" customHeight="1" x14ac:dyDescent="0.4">
      <c r="A44" s="498" t="s">
        <v>73</v>
      </c>
      <c r="B44" s="499">
        <v>1</v>
      </c>
      <c r="C44" s="527" t="s">
        <v>74</v>
      </c>
      <c r="D44" s="528">
        <f>D43*$B$34</f>
        <v>25.95</v>
      </c>
      <c r="E44" s="529"/>
      <c r="F44" s="528">
        <f>F43*$B$34</f>
        <v>23.81</v>
      </c>
      <c r="H44" s="524"/>
    </row>
    <row r="45" spans="1:14" ht="19.5" customHeight="1" x14ac:dyDescent="0.3">
      <c r="A45" s="498" t="s">
        <v>75</v>
      </c>
      <c r="B45" s="530">
        <f>(B44/B43)*(B42/B41)*(B40/B39)*(B38/B37)*B36</f>
        <v>1250</v>
      </c>
      <c r="C45" s="527" t="s">
        <v>76</v>
      </c>
      <c r="D45" s="531">
        <f>D44*$B$30/100</f>
        <v>25.768350000000002</v>
      </c>
      <c r="E45" s="532"/>
      <c r="F45" s="531">
        <f>F44*$B$30/100</f>
        <v>23.643329999999995</v>
      </c>
      <c r="H45" s="524"/>
    </row>
    <row r="46" spans="1:14" ht="19.5" customHeight="1" x14ac:dyDescent="0.3">
      <c r="A46" s="673" t="s">
        <v>77</v>
      </c>
      <c r="B46" s="674"/>
      <c r="C46" s="527" t="s">
        <v>78</v>
      </c>
      <c r="D46" s="533">
        <f>D45/$B$45</f>
        <v>2.061468E-2</v>
      </c>
      <c r="E46" s="534"/>
      <c r="F46" s="535">
        <f>F45/$B$45</f>
        <v>1.8914663999999998E-2</v>
      </c>
      <c r="H46" s="524"/>
    </row>
    <row r="47" spans="1:14" ht="27" customHeight="1" x14ac:dyDescent="0.4">
      <c r="A47" s="675"/>
      <c r="B47" s="676"/>
      <c r="C47" s="536" t="s">
        <v>79</v>
      </c>
      <c r="D47" s="537">
        <v>0.02</v>
      </c>
      <c r="E47" s="538"/>
      <c r="F47" s="534"/>
      <c r="H47" s="524"/>
    </row>
    <row r="48" spans="1:14" ht="18.75" x14ac:dyDescent="0.3">
      <c r="C48" s="539" t="s">
        <v>80</v>
      </c>
      <c r="D48" s="531">
        <f>D47*$B$45</f>
        <v>25</v>
      </c>
      <c r="F48" s="540"/>
      <c r="H48" s="524"/>
    </row>
    <row r="49" spans="1:12" ht="19.5" customHeight="1" x14ac:dyDescent="0.3">
      <c r="C49" s="541" t="s">
        <v>81</v>
      </c>
      <c r="D49" s="542">
        <f>D48/B34</f>
        <v>25</v>
      </c>
      <c r="F49" s="540"/>
      <c r="H49" s="524"/>
    </row>
    <row r="50" spans="1:12" ht="18.75" x14ac:dyDescent="0.3">
      <c r="C50" s="496" t="s">
        <v>82</v>
      </c>
      <c r="D50" s="543">
        <f>AVERAGE(E38:E41,G38:G41)</f>
        <v>9503553.8987241294</v>
      </c>
      <c r="F50" s="544"/>
      <c r="H50" s="524"/>
    </row>
    <row r="51" spans="1:12" ht="18.75" x14ac:dyDescent="0.3">
      <c r="C51" s="498" t="s">
        <v>83</v>
      </c>
      <c r="D51" s="545">
        <f>STDEV(E38:E41,G38:G41)/D50</f>
        <v>1.1940301486237884E-2</v>
      </c>
      <c r="F51" s="544"/>
      <c r="H51" s="524"/>
    </row>
    <row r="52" spans="1:12" ht="19.5" customHeight="1" x14ac:dyDescent="0.3">
      <c r="C52" s="546" t="s">
        <v>20</v>
      </c>
      <c r="D52" s="547">
        <f>COUNT(E38:E41,G38:G41)</f>
        <v>6</v>
      </c>
      <c r="F52" s="544"/>
    </row>
    <row r="54" spans="1:12" ht="18.75" x14ac:dyDescent="0.3">
      <c r="A54" s="548" t="s">
        <v>1</v>
      </c>
      <c r="B54" s="549" t="s">
        <v>84</v>
      </c>
    </row>
    <row r="55" spans="1:12" ht="18.75" x14ac:dyDescent="0.3">
      <c r="A55" s="473" t="s">
        <v>85</v>
      </c>
      <c r="B55" s="550" t="str">
        <f>B21</f>
        <v>Each tablet contains Acetylsalicylic Acid B.P 600 mg, Paracetamol B.P 300 mg, Caffeine Anhdrous B.P 50 MG</v>
      </c>
    </row>
    <row r="56" spans="1:12" ht="26.25" customHeight="1" x14ac:dyDescent="0.4">
      <c r="A56" s="551" t="s">
        <v>86</v>
      </c>
      <c r="B56" s="552">
        <v>50</v>
      </c>
      <c r="C56" s="473" t="str">
        <f>B20</f>
        <v>Each tablet contains Acetylsalicylic Acid B.P ParacetamolB.P, Caffeine Anhdrous B.P</v>
      </c>
      <c r="H56" s="553"/>
    </row>
    <row r="57" spans="1:12" ht="18.75" x14ac:dyDescent="0.3">
      <c r="A57" s="550" t="s">
        <v>87</v>
      </c>
      <c r="B57" s="621">
        <f>Uniformity!C46</f>
        <v>1121.1590000000001</v>
      </c>
      <c r="H57" s="553"/>
    </row>
    <row r="58" spans="1:12" ht="19.5" customHeight="1" x14ac:dyDescent="0.3">
      <c r="H58" s="553"/>
    </row>
    <row r="59" spans="1:12" s="14" customFormat="1" ht="27" customHeight="1" x14ac:dyDescent="0.4">
      <c r="A59" s="496" t="s">
        <v>88</v>
      </c>
      <c r="B59" s="497">
        <v>50</v>
      </c>
      <c r="C59" s="473"/>
      <c r="D59" s="554" t="s">
        <v>89</v>
      </c>
      <c r="E59" s="555" t="s">
        <v>61</v>
      </c>
      <c r="F59" s="555" t="s">
        <v>62</v>
      </c>
      <c r="G59" s="555" t="s">
        <v>90</v>
      </c>
      <c r="H59" s="500" t="s">
        <v>91</v>
      </c>
      <c r="L59" s="486"/>
    </row>
    <row r="60" spans="1:12" s="14" customFormat="1" ht="26.25" customHeight="1" x14ac:dyDescent="0.4">
      <c r="A60" s="498" t="s">
        <v>92</v>
      </c>
      <c r="B60" s="499">
        <v>1</v>
      </c>
      <c r="C60" s="690" t="s">
        <v>93</v>
      </c>
      <c r="D60" s="693">
        <v>908.28</v>
      </c>
      <c r="E60" s="556">
        <v>1</v>
      </c>
      <c r="F60" s="557"/>
      <c r="G60" s="622" t="str">
        <f>IF(ISBLANK(F60),"-",(F60/$D$50*$D$47*$B$68)*($B$57/$D$60))</f>
        <v>-</v>
      </c>
      <c r="H60" s="640" t="str">
        <f t="shared" ref="H60:H71" si="0">IF(ISBLANK(F60),"-",(G60/$B$56)*100)</f>
        <v>-</v>
      </c>
      <c r="L60" s="486"/>
    </row>
    <row r="61" spans="1:12" s="14" customFormat="1" ht="26.25" customHeight="1" x14ac:dyDescent="0.4">
      <c r="A61" s="498" t="s">
        <v>94</v>
      </c>
      <c r="B61" s="499">
        <v>50</v>
      </c>
      <c r="C61" s="691"/>
      <c r="D61" s="694"/>
      <c r="E61" s="558">
        <v>2</v>
      </c>
      <c r="F61" s="511"/>
      <c r="G61" s="623" t="str">
        <f>IF(ISBLANK(F61),"-",(F61/$D$50*$D$47*$B$68)*($B$57/$D$60))</f>
        <v>-</v>
      </c>
      <c r="H61" s="641" t="str">
        <f t="shared" si="0"/>
        <v>-</v>
      </c>
      <c r="L61" s="486"/>
    </row>
    <row r="62" spans="1:12" s="14" customFormat="1" ht="26.25" customHeight="1" x14ac:dyDescent="0.4">
      <c r="A62" s="498" t="s">
        <v>95</v>
      </c>
      <c r="B62" s="499">
        <v>1</v>
      </c>
      <c r="C62" s="691"/>
      <c r="D62" s="694"/>
      <c r="E62" s="558">
        <v>3</v>
      </c>
      <c r="F62" s="559"/>
      <c r="G62" s="623" t="str">
        <f>IF(ISBLANK(F62),"-",(F62/$D$50*$D$47*$B$68)*($B$57/$D$60))</f>
        <v>-</v>
      </c>
      <c r="H62" s="641" t="str">
        <f t="shared" si="0"/>
        <v>-</v>
      </c>
      <c r="L62" s="486"/>
    </row>
    <row r="63" spans="1:12" ht="27" customHeight="1" x14ac:dyDescent="0.4">
      <c r="A63" s="498" t="s">
        <v>96</v>
      </c>
      <c r="B63" s="499">
        <v>1</v>
      </c>
      <c r="C63" s="700"/>
      <c r="D63" s="695"/>
      <c r="E63" s="560">
        <v>4</v>
      </c>
      <c r="F63" s="561"/>
      <c r="G63" s="623" t="str">
        <f>IF(ISBLANK(F63),"-",(F63/$D$50*$D$47*$B$68)*($B$57/$D$60))</f>
        <v>-</v>
      </c>
      <c r="H63" s="641" t="str">
        <f t="shared" si="0"/>
        <v>-</v>
      </c>
    </row>
    <row r="64" spans="1:12" ht="26.25" customHeight="1" x14ac:dyDescent="0.4">
      <c r="A64" s="498" t="s">
        <v>97</v>
      </c>
      <c r="B64" s="499">
        <v>1</v>
      </c>
      <c r="C64" s="690" t="s">
        <v>98</v>
      </c>
      <c r="D64" s="693">
        <v>935.36</v>
      </c>
      <c r="E64" s="556">
        <v>1</v>
      </c>
      <c r="F64" s="557">
        <v>7628410</v>
      </c>
      <c r="G64" s="622">
        <f>IF(ISBLANK(F64),"-",(F64/$D$50*$D$47*$B$68)*($B$57/$D$64))</f>
        <v>48.106792653540992</v>
      </c>
      <c r="H64" s="640">
        <f t="shared" si="0"/>
        <v>96.213585307081985</v>
      </c>
    </row>
    <row r="65" spans="1:8" ht="26.25" customHeight="1" x14ac:dyDescent="0.4">
      <c r="A65" s="498" t="s">
        <v>99</v>
      </c>
      <c r="B65" s="499">
        <v>1</v>
      </c>
      <c r="C65" s="691"/>
      <c r="D65" s="694"/>
      <c r="E65" s="558">
        <v>2</v>
      </c>
      <c r="F65" s="511">
        <v>7741066</v>
      </c>
      <c r="G65" s="623">
        <f>IF(ISBLANK(F65),"-",(F65/$D$50*$D$47*$B$68)*($B$57/$D$64))</f>
        <v>48.817231504255282</v>
      </c>
      <c r="H65" s="641">
        <f t="shared" si="0"/>
        <v>97.634463008510565</v>
      </c>
    </row>
    <row r="66" spans="1:8" ht="26.25" customHeight="1" x14ac:dyDescent="0.4">
      <c r="A66" s="498" t="s">
        <v>100</v>
      </c>
      <c r="B66" s="499">
        <v>1</v>
      </c>
      <c r="C66" s="691"/>
      <c r="D66" s="694"/>
      <c r="E66" s="558">
        <v>3</v>
      </c>
      <c r="F66" s="511">
        <v>7676409</v>
      </c>
      <c r="G66" s="623">
        <f>IF(ISBLANK(F66),"-",(F66/$D$50*$D$47*$B$68)*($B$57/$D$64))</f>
        <v>48.409487178425913</v>
      </c>
      <c r="H66" s="641">
        <f t="shared" si="0"/>
        <v>96.818974356851825</v>
      </c>
    </row>
    <row r="67" spans="1:8" ht="27" customHeight="1" x14ac:dyDescent="0.4">
      <c r="A67" s="498" t="s">
        <v>101</v>
      </c>
      <c r="B67" s="499">
        <v>1</v>
      </c>
      <c r="C67" s="700"/>
      <c r="D67" s="695"/>
      <c r="E67" s="560">
        <v>4</v>
      </c>
      <c r="F67" s="561"/>
      <c r="G67" s="639" t="str">
        <f>IF(ISBLANK(F67),"-",(F67/$D$50*$D$47*$B$68)*($B$57/$D$64))</f>
        <v>-</v>
      </c>
      <c r="H67" s="642" t="str">
        <f t="shared" si="0"/>
        <v>-</v>
      </c>
    </row>
    <row r="68" spans="1:8" ht="26.25" customHeight="1" x14ac:dyDescent="0.4">
      <c r="A68" s="498" t="s">
        <v>102</v>
      </c>
      <c r="B68" s="562">
        <f>(B67/B66)*(B65/B64)*(B63/B62)*(B61/B60)*B59</f>
        <v>2500</v>
      </c>
      <c r="C68" s="690" t="s">
        <v>103</v>
      </c>
      <c r="D68" s="693">
        <v>929.18</v>
      </c>
      <c r="E68" s="556">
        <v>1</v>
      </c>
      <c r="F68" s="557">
        <v>7846312</v>
      </c>
      <c r="G68" s="622">
        <f>IF(ISBLANK(F68),"-",(F68/$D$50*$D$47*$B$68)*($B$57/$D$68))</f>
        <v>49.810039920649501</v>
      </c>
      <c r="H68" s="641">
        <f t="shared" si="0"/>
        <v>99.620079841299003</v>
      </c>
    </row>
    <row r="69" spans="1:8" ht="27" customHeight="1" x14ac:dyDescent="0.4">
      <c r="A69" s="546" t="s">
        <v>104</v>
      </c>
      <c r="B69" s="563">
        <f>(D47*B68)/B56*B57</f>
        <v>1121.1590000000001</v>
      </c>
      <c r="C69" s="691"/>
      <c r="D69" s="694"/>
      <c r="E69" s="558">
        <v>2</v>
      </c>
      <c r="F69" s="511">
        <v>7810136</v>
      </c>
      <c r="G69" s="623">
        <f>IF(ISBLANK(F69),"-",(F69/$D$50*$D$47*$B$68)*($B$57/$D$68))</f>
        <v>49.580387059003229</v>
      </c>
      <c r="H69" s="641">
        <f t="shared" si="0"/>
        <v>99.160774118006458</v>
      </c>
    </row>
    <row r="70" spans="1:8" ht="26.25" customHeight="1" x14ac:dyDescent="0.4">
      <c r="A70" s="696" t="s">
        <v>77</v>
      </c>
      <c r="B70" s="697"/>
      <c r="C70" s="691"/>
      <c r="D70" s="694"/>
      <c r="E70" s="558">
        <v>3</v>
      </c>
      <c r="F70" s="511">
        <v>7807808</v>
      </c>
      <c r="G70" s="623">
        <f>IF(ISBLANK(F70),"-",(F70/$D$50*$D$47*$B$68)*($B$57/$D$68))</f>
        <v>49.565608425049433</v>
      </c>
      <c r="H70" s="641">
        <f t="shared" si="0"/>
        <v>99.131216850098866</v>
      </c>
    </row>
    <row r="71" spans="1:8" ht="27" customHeight="1" x14ac:dyDescent="0.4">
      <c r="A71" s="698"/>
      <c r="B71" s="699"/>
      <c r="C71" s="692"/>
      <c r="D71" s="695"/>
      <c r="E71" s="560">
        <v>4</v>
      </c>
      <c r="F71" s="561"/>
      <c r="G71" s="639" t="str">
        <f>IF(ISBLANK(F71),"-",(F71/$D$50*$D$47*$B$68)*($B$57/$D$68))</f>
        <v>-</v>
      </c>
      <c r="H71" s="642" t="str">
        <f t="shared" si="0"/>
        <v>-</v>
      </c>
    </row>
    <row r="72" spans="1:8" ht="26.25" customHeight="1" x14ac:dyDescent="0.4">
      <c r="A72" s="564"/>
      <c r="B72" s="564"/>
      <c r="C72" s="564"/>
      <c r="D72" s="564"/>
      <c r="E72" s="564"/>
      <c r="F72" s="566" t="s">
        <v>70</v>
      </c>
      <c r="G72" s="628">
        <f>AVERAGE(G60:G71)</f>
        <v>49.048257790154061</v>
      </c>
      <c r="H72" s="643">
        <f>AVERAGE(H60:H71)</f>
        <v>98.096515580308122</v>
      </c>
    </row>
    <row r="73" spans="1:8" ht="26.25" customHeight="1" x14ac:dyDescent="0.4">
      <c r="C73" s="564"/>
      <c r="D73" s="564"/>
      <c r="E73" s="564"/>
      <c r="F73" s="567" t="s">
        <v>83</v>
      </c>
      <c r="G73" s="627">
        <f>STDEV(G60:G71)/G72</f>
        <v>1.4355536161679824E-2</v>
      </c>
      <c r="H73" s="627">
        <f>STDEV(H60:H71)/H72</f>
        <v>1.4355536161679824E-2</v>
      </c>
    </row>
    <row r="74" spans="1:8" ht="27" customHeight="1" x14ac:dyDescent="0.4">
      <c r="A74" s="564"/>
      <c r="B74" s="564"/>
      <c r="C74" s="565"/>
      <c r="D74" s="565"/>
      <c r="E74" s="568"/>
      <c r="F74" s="569" t="s">
        <v>20</v>
      </c>
      <c r="G74" s="570">
        <f>COUNT(G60:G71)</f>
        <v>6</v>
      </c>
      <c r="H74" s="570">
        <f>COUNT(H60:H71)</f>
        <v>6</v>
      </c>
    </row>
    <row r="76" spans="1:8" ht="26.25" customHeight="1" x14ac:dyDescent="0.3">
      <c r="A76" s="482" t="s">
        <v>105</v>
      </c>
      <c r="B76" s="571" t="s">
        <v>106</v>
      </c>
      <c r="C76" s="677" t="str">
        <f>B26</f>
        <v>Caffeine</v>
      </c>
      <c r="D76" s="677"/>
      <c r="E76" s="572" t="s">
        <v>107</v>
      </c>
      <c r="F76" s="572"/>
      <c r="G76" s="660">
        <f>H72</f>
        <v>98.096515580308122</v>
      </c>
      <c r="H76" s="574"/>
    </row>
    <row r="77" spans="1:8" ht="18.75" x14ac:dyDescent="0.3">
      <c r="A77" s="481" t="s">
        <v>108</v>
      </c>
      <c r="B77" s="481" t="s">
        <v>109</v>
      </c>
    </row>
    <row r="78" spans="1:8" ht="18.75" x14ac:dyDescent="0.3">
      <c r="A78" s="481"/>
      <c r="B78" s="481"/>
    </row>
    <row r="79" spans="1:8" ht="26.25" customHeight="1" x14ac:dyDescent="0.4">
      <c r="A79" s="482" t="s">
        <v>4</v>
      </c>
      <c r="B79" s="711" t="str">
        <f>B26</f>
        <v>Caffeine</v>
      </c>
      <c r="C79" s="711"/>
    </row>
    <row r="80" spans="1:8" ht="26.25" customHeight="1" x14ac:dyDescent="0.4">
      <c r="A80" s="483" t="s">
        <v>47</v>
      </c>
      <c r="B80" s="711" t="str">
        <f>B27</f>
        <v>C55</v>
      </c>
      <c r="C80" s="711"/>
    </row>
    <row r="81" spans="1:12" ht="27" customHeight="1" x14ac:dyDescent="0.4">
      <c r="A81" s="483" t="s">
        <v>6</v>
      </c>
      <c r="B81" s="575">
        <f>B28</f>
        <v>99.3</v>
      </c>
    </row>
    <row r="82" spans="1:12" s="14" customFormat="1" ht="27" customHeight="1" x14ac:dyDescent="0.4">
      <c r="A82" s="483" t="s">
        <v>48</v>
      </c>
      <c r="B82" s="485">
        <v>0</v>
      </c>
      <c r="C82" s="679" t="s">
        <v>49</v>
      </c>
      <c r="D82" s="680"/>
      <c r="E82" s="680"/>
      <c r="F82" s="680"/>
      <c r="G82" s="681"/>
      <c r="I82" s="486"/>
      <c r="J82" s="486"/>
      <c r="K82" s="486"/>
      <c r="L82" s="486"/>
    </row>
    <row r="83" spans="1:12" s="14" customFormat="1" ht="19.5" customHeight="1" x14ac:dyDescent="0.3">
      <c r="A83" s="483" t="s">
        <v>50</v>
      </c>
      <c r="B83" s="487">
        <f>B81-B82</f>
        <v>99.3</v>
      </c>
      <c r="C83" s="488"/>
      <c r="D83" s="488"/>
      <c r="E83" s="488"/>
      <c r="F83" s="488"/>
      <c r="G83" s="489"/>
      <c r="I83" s="486"/>
      <c r="J83" s="486"/>
      <c r="K83" s="486"/>
      <c r="L83" s="486"/>
    </row>
    <row r="84" spans="1:12" s="14" customFormat="1" ht="27" customHeight="1" x14ac:dyDescent="0.4">
      <c r="A84" s="483" t="s">
        <v>51</v>
      </c>
      <c r="B84" s="490">
        <v>1</v>
      </c>
      <c r="C84" s="682" t="s">
        <v>110</v>
      </c>
      <c r="D84" s="683"/>
      <c r="E84" s="683"/>
      <c r="F84" s="683"/>
      <c r="G84" s="683"/>
      <c r="H84" s="684"/>
      <c r="I84" s="486"/>
      <c r="J84" s="486"/>
      <c r="K84" s="486"/>
      <c r="L84" s="486"/>
    </row>
    <row r="85" spans="1:12" s="14" customFormat="1" ht="27" customHeight="1" x14ac:dyDescent="0.4">
      <c r="A85" s="483" t="s">
        <v>53</v>
      </c>
      <c r="B85" s="490">
        <v>1</v>
      </c>
      <c r="C85" s="682" t="s">
        <v>111</v>
      </c>
      <c r="D85" s="683"/>
      <c r="E85" s="683"/>
      <c r="F85" s="683"/>
      <c r="G85" s="683"/>
      <c r="H85" s="684"/>
      <c r="I85" s="486"/>
      <c r="J85" s="486"/>
      <c r="K85" s="486"/>
      <c r="L85" s="486"/>
    </row>
    <row r="86" spans="1:12" s="14" customFormat="1" ht="18.75" x14ac:dyDescent="0.3">
      <c r="A86" s="483"/>
      <c r="B86" s="493"/>
      <c r="C86" s="494"/>
      <c r="D86" s="494"/>
      <c r="E86" s="494"/>
      <c r="F86" s="494"/>
      <c r="G86" s="494"/>
      <c r="H86" s="494"/>
      <c r="I86" s="486"/>
      <c r="J86" s="486"/>
      <c r="K86" s="486"/>
      <c r="L86" s="486"/>
    </row>
    <row r="87" spans="1:12" s="14" customFormat="1" ht="18.75" x14ac:dyDescent="0.3">
      <c r="A87" s="483" t="s">
        <v>55</v>
      </c>
      <c r="B87" s="495">
        <f>B84/B85</f>
        <v>1</v>
      </c>
      <c r="C87" s="473" t="s">
        <v>56</v>
      </c>
      <c r="D87" s="473"/>
      <c r="E87" s="473"/>
      <c r="F87" s="473"/>
      <c r="G87" s="473"/>
      <c r="I87" s="486"/>
      <c r="J87" s="486"/>
      <c r="K87" s="486"/>
      <c r="L87" s="486"/>
    </row>
    <row r="88" spans="1:12" ht="19.5" customHeight="1" x14ac:dyDescent="0.3">
      <c r="A88" s="481"/>
      <c r="B88" s="481"/>
    </row>
    <row r="89" spans="1:12" ht="27" customHeight="1" x14ac:dyDescent="0.4">
      <c r="A89" s="496" t="s">
        <v>57</v>
      </c>
      <c r="B89" s="497">
        <v>25</v>
      </c>
      <c r="D89" s="576" t="s">
        <v>58</v>
      </c>
      <c r="E89" s="577"/>
      <c r="F89" s="685" t="s">
        <v>59</v>
      </c>
      <c r="G89" s="686"/>
    </row>
    <row r="90" spans="1:12" ht="27" customHeight="1" x14ac:dyDescent="0.4">
      <c r="A90" s="498" t="s">
        <v>60</v>
      </c>
      <c r="B90" s="499">
        <v>2</v>
      </c>
      <c r="C90" s="578" t="s">
        <v>61</v>
      </c>
      <c r="D90" s="501" t="s">
        <v>62</v>
      </c>
      <c r="E90" s="502" t="s">
        <v>63</v>
      </c>
      <c r="F90" s="501" t="s">
        <v>62</v>
      </c>
      <c r="G90" s="579" t="s">
        <v>63</v>
      </c>
      <c r="I90" s="504" t="s">
        <v>64</v>
      </c>
    </row>
    <row r="91" spans="1:12" ht="26.25" customHeight="1" x14ac:dyDescent="0.4">
      <c r="A91" s="498" t="s">
        <v>65</v>
      </c>
      <c r="B91" s="499">
        <v>100</v>
      </c>
      <c r="C91" s="580">
        <v>1</v>
      </c>
      <c r="D91" s="506">
        <v>9716326</v>
      </c>
      <c r="E91" s="507">
        <f>IF(ISBLANK(D91),"-",$D$101/$D$98*D91)</f>
        <v>10474009.567723366</v>
      </c>
      <c r="F91" s="506">
        <v>9151518</v>
      </c>
      <c r="G91" s="508">
        <f>IF(ISBLANK(F91),"-",$D$101/$F$98*F91)</f>
        <v>10751820.210322887</v>
      </c>
      <c r="I91" s="509"/>
    </row>
    <row r="92" spans="1:12" ht="26.25" customHeight="1" x14ac:dyDescent="0.4">
      <c r="A92" s="498" t="s">
        <v>66</v>
      </c>
      <c r="B92" s="499">
        <v>1</v>
      </c>
      <c r="C92" s="565">
        <v>2</v>
      </c>
      <c r="D92" s="511">
        <v>9691791</v>
      </c>
      <c r="E92" s="512">
        <f>IF(ISBLANK(D92),"-",$D$101/$D$98*D92)</f>
        <v>10447561.317145515</v>
      </c>
      <c r="F92" s="511">
        <v>9039926</v>
      </c>
      <c r="G92" s="513">
        <f>IF(ISBLANK(F92),"-",$D$101/$F$98*F92)</f>
        <v>10620714.406792767</v>
      </c>
      <c r="I92" s="687">
        <f>ABS((F96/D96*D95)-F95)/D95</f>
        <v>1.8642969640469166E-2</v>
      </c>
    </row>
    <row r="93" spans="1:12" ht="26.25" customHeight="1" x14ac:dyDescent="0.4">
      <c r="A93" s="498" t="s">
        <v>67</v>
      </c>
      <c r="B93" s="499">
        <v>1</v>
      </c>
      <c r="C93" s="565">
        <v>3</v>
      </c>
      <c r="D93" s="511">
        <v>9683244</v>
      </c>
      <c r="E93" s="512">
        <f>IF(ISBLANK(D93),"-",$D$101/$D$98*D93)</f>
        <v>10438347.818156768</v>
      </c>
      <c r="F93" s="511">
        <v>9043210</v>
      </c>
      <c r="G93" s="513">
        <f>IF(ISBLANK(F93),"-",$D$101/$F$98*F93)</f>
        <v>10624572.671352886</v>
      </c>
      <c r="I93" s="687"/>
    </row>
    <row r="94" spans="1:12" ht="27" customHeight="1" x14ac:dyDescent="0.4">
      <c r="A94" s="498" t="s">
        <v>68</v>
      </c>
      <c r="B94" s="499">
        <v>1</v>
      </c>
      <c r="C94" s="581">
        <v>4</v>
      </c>
      <c r="D94" s="516"/>
      <c r="E94" s="517" t="str">
        <f>IF(ISBLANK(D94),"-",$D$101/$D$98*D94)</f>
        <v>-</v>
      </c>
      <c r="F94" s="582"/>
      <c r="G94" s="518" t="str">
        <f>IF(ISBLANK(F94),"-",$D$101/$F$98*F94)</f>
        <v>-</v>
      </c>
      <c r="I94" s="519"/>
    </row>
    <row r="95" spans="1:12" ht="27" customHeight="1" x14ac:dyDescent="0.4">
      <c r="A95" s="498" t="s">
        <v>69</v>
      </c>
      <c r="B95" s="499">
        <v>1</v>
      </c>
      <c r="C95" s="583" t="s">
        <v>70</v>
      </c>
      <c r="D95" s="584">
        <f>AVERAGE(D91:D94)</f>
        <v>9697120.333333334</v>
      </c>
      <c r="E95" s="522">
        <f>AVERAGE(E91:E94)</f>
        <v>10453306.234341884</v>
      </c>
      <c r="F95" s="585">
        <f>AVERAGE(F91:F94)</f>
        <v>9078218</v>
      </c>
      <c r="G95" s="586">
        <f>AVERAGE(G91:G94)</f>
        <v>10665702.429489514</v>
      </c>
    </row>
    <row r="96" spans="1:12" ht="26.25" customHeight="1" x14ac:dyDescent="0.4">
      <c r="A96" s="498" t="s">
        <v>71</v>
      </c>
      <c r="B96" s="484">
        <v>1</v>
      </c>
      <c r="C96" s="587" t="s">
        <v>112</v>
      </c>
      <c r="D96" s="588">
        <v>25.95</v>
      </c>
      <c r="E96" s="514"/>
      <c r="F96" s="526">
        <v>23.81</v>
      </c>
    </row>
    <row r="97" spans="1:10" ht="26.25" customHeight="1" x14ac:dyDescent="0.4">
      <c r="A97" s="498" t="s">
        <v>73</v>
      </c>
      <c r="B97" s="484">
        <v>1</v>
      </c>
      <c r="C97" s="589" t="s">
        <v>113</v>
      </c>
      <c r="D97" s="590">
        <f>D96*$B$87</f>
        <v>25.95</v>
      </c>
      <c r="E97" s="529"/>
      <c r="F97" s="528">
        <f>F96*$B$87</f>
        <v>23.81</v>
      </c>
    </row>
    <row r="98" spans="1:10" ht="19.5" customHeight="1" x14ac:dyDescent="0.3">
      <c r="A98" s="498" t="s">
        <v>75</v>
      </c>
      <c r="B98" s="591">
        <f>(B97/B96)*(B95/B94)*(B93/B92)*(B91/B90)*B89</f>
        <v>1250</v>
      </c>
      <c r="C98" s="589" t="s">
        <v>114</v>
      </c>
      <c r="D98" s="592">
        <f>D97*$B$83/100</f>
        <v>25.768350000000002</v>
      </c>
      <c r="E98" s="532"/>
      <c r="F98" s="531">
        <f>F97*$B$83/100</f>
        <v>23.643329999999995</v>
      </c>
    </row>
    <row r="99" spans="1:10" ht="19.5" customHeight="1" x14ac:dyDescent="0.3">
      <c r="A99" s="673" t="s">
        <v>77</v>
      </c>
      <c r="B99" s="688"/>
      <c r="C99" s="589" t="s">
        <v>115</v>
      </c>
      <c r="D99" s="593">
        <f>D98/$B$98</f>
        <v>2.061468E-2</v>
      </c>
      <c r="E99" s="532"/>
      <c r="F99" s="535">
        <f>F98/$B$98</f>
        <v>1.8914663999999998E-2</v>
      </c>
      <c r="G99" s="594"/>
      <c r="H99" s="524"/>
    </row>
    <row r="100" spans="1:10" ht="19.5" customHeight="1" x14ac:dyDescent="0.3">
      <c r="A100" s="675"/>
      <c r="B100" s="689"/>
      <c r="C100" s="589" t="s">
        <v>79</v>
      </c>
      <c r="D100" s="595">
        <f>$B$56/$B$116</f>
        <v>2.2222222222222223E-2</v>
      </c>
      <c r="F100" s="540"/>
      <c r="G100" s="596"/>
      <c r="H100" s="524"/>
    </row>
    <row r="101" spans="1:10" ht="18.75" x14ac:dyDescent="0.3">
      <c r="C101" s="589" t="s">
        <v>80</v>
      </c>
      <c r="D101" s="590">
        <f>D100*$B$98</f>
        <v>27.777777777777779</v>
      </c>
      <c r="F101" s="540"/>
      <c r="G101" s="594"/>
      <c r="H101" s="524"/>
    </row>
    <row r="102" spans="1:10" ht="19.5" customHeight="1" x14ac:dyDescent="0.3">
      <c r="C102" s="597" t="s">
        <v>81</v>
      </c>
      <c r="D102" s="598">
        <f>D101/B34</f>
        <v>27.777777777777779</v>
      </c>
      <c r="F102" s="544"/>
      <c r="G102" s="594"/>
      <c r="H102" s="524"/>
      <c r="J102" s="599"/>
    </row>
    <row r="103" spans="1:10" ht="18.75" x14ac:dyDescent="0.3">
      <c r="C103" s="600" t="s">
        <v>116</v>
      </c>
      <c r="D103" s="601">
        <f>AVERAGE(E91:E94,G91:G94)</f>
        <v>10559504.331915699</v>
      </c>
      <c r="F103" s="544"/>
      <c r="G103" s="602"/>
      <c r="H103" s="524"/>
      <c r="J103" s="603"/>
    </row>
    <row r="104" spans="1:10" ht="18.75" x14ac:dyDescent="0.3">
      <c r="C104" s="567" t="s">
        <v>83</v>
      </c>
      <c r="D104" s="604">
        <f>STDEV(E91:E94,G91:G94)/D103</f>
        <v>1.194030148623801E-2</v>
      </c>
      <c r="F104" s="544"/>
      <c r="G104" s="594"/>
      <c r="H104" s="524"/>
      <c r="J104" s="603"/>
    </row>
    <row r="105" spans="1:10" ht="19.5" customHeight="1" x14ac:dyDescent="0.3">
      <c r="C105" s="569" t="s">
        <v>20</v>
      </c>
      <c r="D105" s="605">
        <f>COUNT(E91:E94,G91:G94)</f>
        <v>6</v>
      </c>
      <c r="F105" s="544"/>
      <c r="G105" s="594"/>
      <c r="H105" s="524"/>
      <c r="J105" s="603"/>
    </row>
    <row r="106" spans="1:10" ht="19.5" customHeight="1" x14ac:dyDescent="0.3">
      <c r="A106" s="548"/>
      <c r="B106" s="548"/>
      <c r="C106" s="548"/>
      <c r="D106" s="548"/>
      <c r="E106" s="548"/>
    </row>
    <row r="107" spans="1:10" ht="27" customHeight="1" x14ac:dyDescent="0.4">
      <c r="A107" s="496" t="s">
        <v>117</v>
      </c>
      <c r="B107" s="497">
        <v>900</v>
      </c>
      <c r="C107" s="644" t="s">
        <v>118</v>
      </c>
      <c r="D107" s="644" t="s">
        <v>62</v>
      </c>
      <c r="E107" s="644" t="s">
        <v>119</v>
      </c>
      <c r="F107" s="606" t="s">
        <v>120</v>
      </c>
    </row>
    <row r="108" spans="1:10" ht="26.25" customHeight="1" x14ac:dyDescent="0.4">
      <c r="A108" s="498" t="s">
        <v>121</v>
      </c>
      <c r="B108" s="499">
        <v>10</v>
      </c>
      <c r="C108" s="649">
        <v>1</v>
      </c>
      <c r="D108" s="650">
        <v>10175634</v>
      </c>
      <c r="E108" s="624">
        <f t="shared" ref="E108:E113" si="1">IF(ISBLANK(D108),"-",D108/$D$103*$D$100*$B$116)</f>
        <v>48.182346823063156</v>
      </c>
      <c r="F108" s="651">
        <f t="shared" ref="F108:F113" si="2">IF(ISBLANK(D108), "-", (E108/$B$56)*100)</f>
        <v>96.364693646126312</v>
      </c>
    </row>
    <row r="109" spans="1:10" ht="26.25" customHeight="1" x14ac:dyDescent="0.4">
      <c r="A109" s="498" t="s">
        <v>94</v>
      </c>
      <c r="B109" s="499">
        <v>25</v>
      </c>
      <c r="C109" s="645">
        <v>2</v>
      </c>
      <c r="D109" s="647">
        <v>9805729</v>
      </c>
      <c r="E109" s="625">
        <f t="shared" si="1"/>
        <v>46.430820480666682</v>
      </c>
      <c r="F109" s="652">
        <f t="shared" si="2"/>
        <v>92.861640961333364</v>
      </c>
    </row>
    <row r="110" spans="1:10" ht="26.25" customHeight="1" x14ac:dyDescent="0.4">
      <c r="A110" s="498" t="s">
        <v>95</v>
      </c>
      <c r="B110" s="499">
        <v>1</v>
      </c>
      <c r="C110" s="645">
        <v>3</v>
      </c>
      <c r="D110" s="647">
        <v>9889107</v>
      </c>
      <c r="E110" s="625">
        <f t="shared" si="1"/>
        <v>46.825621208897807</v>
      </c>
      <c r="F110" s="652">
        <f t="shared" si="2"/>
        <v>93.651242417795615</v>
      </c>
    </row>
    <row r="111" spans="1:10" ht="26.25" customHeight="1" x14ac:dyDescent="0.4">
      <c r="A111" s="498" t="s">
        <v>96</v>
      </c>
      <c r="B111" s="499">
        <v>1</v>
      </c>
      <c r="C111" s="645">
        <v>4</v>
      </c>
      <c r="D111" s="647">
        <v>10305010</v>
      </c>
      <c r="E111" s="625">
        <f t="shared" si="1"/>
        <v>48.794951335232192</v>
      </c>
      <c r="F111" s="652">
        <f t="shared" si="2"/>
        <v>97.589902670464383</v>
      </c>
    </row>
    <row r="112" spans="1:10" ht="26.25" customHeight="1" x14ac:dyDescent="0.4">
      <c r="A112" s="498" t="s">
        <v>97</v>
      </c>
      <c r="B112" s="499">
        <v>1</v>
      </c>
      <c r="C112" s="645">
        <v>5</v>
      </c>
      <c r="D112" s="647">
        <v>9353244</v>
      </c>
      <c r="E112" s="625">
        <f t="shared" si="1"/>
        <v>44.288271996490288</v>
      </c>
      <c r="F112" s="652">
        <f t="shared" si="2"/>
        <v>88.576543992980575</v>
      </c>
    </row>
    <row r="113" spans="1:10" ht="27" customHeight="1" x14ac:dyDescent="0.4">
      <c r="A113" s="498" t="s">
        <v>99</v>
      </c>
      <c r="B113" s="499">
        <v>1</v>
      </c>
      <c r="C113" s="646">
        <v>6</v>
      </c>
      <c r="D113" s="648">
        <v>9894284</v>
      </c>
      <c r="E113" s="626">
        <f t="shared" si="1"/>
        <v>46.850134670123225</v>
      </c>
      <c r="F113" s="653">
        <f t="shared" si="2"/>
        <v>93.70026934024645</v>
      </c>
    </row>
    <row r="114" spans="1:10" ht="27" customHeight="1" x14ac:dyDescent="0.4">
      <c r="A114" s="498" t="s">
        <v>100</v>
      </c>
      <c r="B114" s="499">
        <v>1</v>
      </c>
      <c r="C114" s="607"/>
      <c r="D114" s="565"/>
      <c r="E114" s="472"/>
      <c r="F114" s="654"/>
    </row>
    <row r="115" spans="1:10" ht="26.25" customHeight="1" x14ac:dyDescent="0.4">
      <c r="A115" s="498" t="s">
        <v>101</v>
      </c>
      <c r="B115" s="499">
        <v>1</v>
      </c>
      <c r="C115" s="607"/>
      <c r="D115" s="631" t="s">
        <v>70</v>
      </c>
      <c r="E115" s="633">
        <f>AVERAGE(E108:E113)</f>
        <v>46.895357752412224</v>
      </c>
      <c r="F115" s="655">
        <f>AVERAGE(F108:F113)</f>
        <v>93.790715504824448</v>
      </c>
    </row>
    <row r="116" spans="1:10" ht="27" customHeight="1" x14ac:dyDescent="0.4">
      <c r="A116" s="498" t="s">
        <v>102</v>
      </c>
      <c r="B116" s="530">
        <f>(B115/B114)*(B113/B112)*(B111/B110)*(B109/B108)*B107</f>
        <v>2250</v>
      </c>
      <c r="C116" s="608"/>
      <c r="D116" s="632" t="s">
        <v>83</v>
      </c>
      <c r="E116" s="630">
        <f>STDEV(E108:E113)/E115</f>
        <v>3.3424279018294992E-2</v>
      </c>
      <c r="F116" s="609">
        <f>STDEV(F108:F113)/F115</f>
        <v>3.3424279018294992E-2</v>
      </c>
      <c r="I116" s="472"/>
    </row>
    <row r="117" spans="1:10" ht="27" customHeight="1" x14ac:dyDescent="0.4">
      <c r="A117" s="673" t="s">
        <v>77</v>
      </c>
      <c r="B117" s="674"/>
      <c r="C117" s="610"/>
      <c r="D117" s="569" t="s">
        <v>20</v>
      </c>
      <c r="E117" s="635">
        <f>COUNT(E108:E113)</f>
        <v>6</v>
      </c>
      <c r="F117" s="636">
        <f>COUNT(F108:F113)</f>
        <v>6</v>
      </c>
      <c r="I117" s="472"/>
      <c r="J117" s="603"/>
    </row>
    <row r="118" spans="1:10" ht="26.25" customHeight="1" x14ac:dyDescent="0.3">
      <c r="A118" s="675"/>
      <c r="B118" s="676"/>
      <c r="C118" s="472"/>
      <c r="D118" s="634"/>
      <c r="E118" s="701" t="s">
        <v>122</v>
      </c>
      <c r="F118" s="702"/>
      <c r="G118" s="472"/>
      <c r="H118" s="472"/>
      <c r="I118" s="472"/>
    </row>
    <row r="119" spans="1:10" ht="25.5" customHeight="1" x14ac:dyDescent="0.4">
      <c r="A119" s="619"/>
      <c r="B119" s="494"/>
      <c r="C119" s="472"/>
      <c r="D119" s="632" t="s">
        <v>123</v>
      </c>
      <c r="E119" s="637">
        <f>MIN(E108:E113)</f>
        <v>44.288271996490288</v>
      </c>
      <c r="F119" s="656">
        <f>MIN(F108:F113)</f>
        <v>88.576543992980575</v>
      </c>
      <c r="G119" s="472"/>
      <c r="H119" s="472"/>
      <c r="I119" s="472"/>
    </row>
    <row r="120" spans="1:10" ht="24" customHeight="1" x14ac:dyDescent="0.4">
      <c r="A120" s="619"/>
      <c r="B120" s="494"/>
      <c r="C120" s="472"/>
      <c r="D120" s="541" t="s">
        <v>124</v>
      </c>
      <c r="E120" s="638">
        <f>MAX(E108:E113)</f>
        <v>48.794951335232192</v>
      </c>
      <c r="F120" s="657">
        <f>MAX(F108:F113)</f>
        <v>97.589902670464383</v>
      </c>
      <c r="G120" s="472"/>
      <c r="H120" s="472"/>
      <c r="I120" s="472"/>
    </row>
    <row r="121" spans="1:10" ht="27" customHeight="1" x14ac:dyDescent="0.3">
      <c r="A121" s="619"/>
      <c r="B121" s="494"/>
      <c r="C121" s="472"/>
      <c r="D121" s="472"/>
      <c r="E121" s="472"/>
      <c r="F121" s="565"/>
      <c r="G121" s="472"/>
      <c r="H121" s="472"/>
      <c r="I121" s="472"/>
    </row>
    <row r="122" spans="1:10" ht="25.5" customHeight="1" x14ac:dyDescent="0.3">
      <c r="A122" s="619"/>
      <c r="B122" s="494"/>
      <c r="C122" s="472"/>
      <c r="D122" s="472"/>
      <c r="E122" s="472"/>
      <c r="F122" s="565"/>
      <c r="G122" s="472"/>
      <c r="H122" s="472"/>
      <c r="I122" s="472"/>
    </row>
    <row r="123" spans="1:10" ht="18.75" x14ac:dyDescent="0.3">
      <c r="A123" s="619"/>
      <c r="B123" s="494"/>
      <c r="C123" s="472"/>
      <c r="D123" s="472"/>
      <c r="E123" s="472"/>
      <c r="F123" s="565"/>
      <c r="G123" s="472"/>
      <c r="H123" s="472"/>
      <c r="I123" s="472"/>
    </row>
    <row r="124" spans="1:10" ht="45.75" customHeight="1" x14ac:dyDescent="0.65">
      <c r="A124" s="482" t="s">
        <v>105</v>
      </c>
      <c r="B124" s="571" t="s">
        <v>125</v>
      </c>
      <c r="C124" s="677" t="str">
        <f>B26</f>
        <v>Caffeine</v>
      </c>
      <c r="D124" s="677"/>
      <c r="E124" s="572" t="s">
        <v>126</v>
      </c>
      <c r="F124" s="572"/>
      <c r="G124" s="658">
        <f>F115</f>
        <v>93.790715504824448</v>
      </c>
      <c r="H124" s="472"/>
      <c r="I124" s="472"/>
    </row>
    <row r="125" spans="1:10" ht="45.75" customHeight="1" x14ac:dyDescent="0.65">
      <c r="A125" s="482"/>
      <c r="B125" s="571" t="s">
        <v>127</v>
      </c>
      <c r="C125" s="483" t="s">
        <v>128</v>
      </c>
      <c r="D125" s="658">
        <f>MIN(F108:F113)</f>
        <v>88.576543992980575</v>
      </c>
      <c r="E125" s="583" t="s">
        <v>129</v>
      </c>
      <c r="F125" s="658">
        <f>MAX(F108:F113)</f>
        <v>97.589902670464383</v>
      </c>
      <c r="G125" s="573"/>
      <c r="H125" s="472"/>
      <c r="I125" s="472"/>
    </row>
    <row r="126" spans="1:10" ht="19.5" customHeight="1" x14ac:dyDescent="0.3">
      <c r="A126" s="611"/>
      <c r="B126" s="611"/>
      <c r="C126" s="612"/>
      <c r="D126" s="612"/>
      <c r="E126" s="612"/>
      <c r="F126" s="612"/>
      <c r="G126" s="612"/>
      <c r="H126" s="612"/>
    </row>
    <row r="127" spans="1:10" ht="18.75" x14ac:dyDescent="0.3">
      <c r="B127" s="678" t="s">
        <v>25</v>
      </c>
      <c r="C127" s="678"/>
      <c r="E127" s="578" t="s">
        <v>26</v>
      </c>
      <c r="F127" s="613"/>
      <c r="G127" s="678" t="s">
        <v>27</v>
      </c>
      <c r="H127" s="678"/>
    </row>
    <row r="128" spans="1:10" ht="69.95" customHeight="1" x14ac:dyDescent="0.3">
      <c r="A128" s="614" t="s">
        <v>28</v>
      </c>
      <c r="B128" s="615"/>
      <c r="C128" s="615"/>
      <c r="E128" s="615"/>
      <c r="F128" s="472"/>
      <c r="G128" s="616"/>
      <c r="H128" s="616"/>
    </row>
    <row r="129" spans="1:9" ht="69.95" customHeight="1" x14ac:dyDescent="0.3">
      <c r="A129" s="614" t="s">
        <v>29</v>
      </c>
      <c r="B129" s="617"/>
      <c r="C129" s="617"/>
      <c r="E129" s="617"/>
      <c r="F129" s="472"/>
      <c r="G129" s="618"/>
      <c r="H129" s="618"/>
    </row>
    <row r="130" spans="1:9" ht="18.75" x14ac:dyDescent="0.3">
      <c r="A130" s="564"/>
      <c r="B130" s="564"/>
      <c r="C130" s="565"/>
      <c r="D130" s="565"/>
      <c r="E130" s="565"/>
      <c r="F130" s="568"/>
      <c r="G130" s="565"/>
      <c r="H130" s="565"/>
      <c r="I130" s="472"/>
    </row>
    <row r="131" spans="1:9" ht="18.75" x14ac:dyDescent="0.3">
      <c r="A131" s="564"/>
      <c r="B131" s="564"/>
      <c r="C131" s="565"/>
      <c r="D131" s="565"/>
      <c r="E131" s="565"/>
      <c r="F131" s="568"/>
      <c r="G131" s="565"/>
      <c r="H131" s="565"/>
      <c r="I131" s="472"/>
    </row>
    <row r="132" spans="1:9" ht="18.75" x14ac:dyDescent="0.3">
      <c r="A132" s="564"/>
      <c r="B132" s="564"/>
      <c r="C132" s="565"/>
      <c r="D132" s="565"/>
      <c r="E132" s="565"/>
      <c r="F132" s="568"/>
      <c r="G132" s="565"/>
      <c r="H132" s="565"/>
      <c r="I132" s="472"/>
    </row>
    <row r="133" spans="1:9" ht="18.75" x14ac:dyDescent="0.3">
      <c r="A133" s="564"/>
      <c r="B133" s="564"/>
      <c r="C133" s="565"/>
      <c r="D133" s="565"/>
      <c r="E133" s="565"/>
      <c r="F133" s="568"/>
      <c r="G133" s="565"/>
      <c r="H133" s="565"/>
      <c r="I133" s="472"/>
    </row>
    <row r="134" spans="1:9" ht="18.75" x14ac:dyDescent="0.3">
      <c r="A134" s="564"/>
      <c r="B134" s="564"/>
      <c r="C134" s="565"/>
      <c r="D134" s="565"/>
      <c r="E134" s="565"/>
      <c r="F134" s="568"/>
      <c r="G134" s="565"/>
      <c r="H134" s="565"/>
      <c r="I134" s="472"/>
    </row>
    <row r="135" spans="1:9" ht="18.75" x14ac:dyDescent="0.3">
      <c r="A135" s="564"/>
      <c r="B135" s="564"/>
      <c r="C135" s="565"/>
      <c r="D135" s="565"/>
      <c r="E135" s="565"/>
      <c r="F135" s="568"/>
      <c r="G135" s="565"/>
      <c r="H135" s="565"/>
      <c r="I135" s="472"/>
    </row>
    <row r="136" spans="1:9" ht="18.75" x14ac:dyDescent="0.3">
      <c r="A136" s="564"/>
      <c r="B136" s="564"/>
      <c r="C136" s="565"/>
      <c r="D136" s="565"/>
      <c r="E136" s="565"/>
      <c r="F136" s="568"/>
      <c r="G136" s="565"/>
      <c r="H136" s="565"/>
      <c r="I136" s="472"/>
    </row>
    <row r="137" spans="1:9" ht="18.75" x14ac:dyDescent="0.3">
      <c r="A137" s="564"/>
      <c r="B137" s="564"/>
      <c r="C137" s="565"/>
      <c r="D137" s="565"/>
      <c r="E137" s="565"/>
      <c r="F137" s="568"/>
      <c r="G137" s="565"/>
      <c r="H137" s="565"/>
      <c r="I137" s="472"/>
    </row>
    <row r="138" spans="1:9" ht="18.75" x14ac:dyDescent="0.3">
      <c r="A138" s="564"/>
      <c r="B138" s="564"/>
      <c r="C138" s="565"/>
      <c r="D138" s="565"/>
      <c r="E138" s="565"/>
      <c r="F138" s="568"/>
      <c r="G138" s="565"/>
      <c r="H138" s="565"/>
      <c r="I138" s="47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SST</vt:lpstr>
      <vt:lpstr>SST (2)</vt:lpstr>
      <vt:lpstr>Uniformity</vt:lpstr>
      <vt:lpstr>Uniformity (2)</vt:lpstr>
      <vt:lpstr>paracetamol</vt:lpstr>
      <vt:lpstr>aspirin</vt:lpstr>
      <vt:lpstr>caffeine</vt:lpstr>
      <vt:lpstr>Uniformity!Print_Area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2016-10-26T09:08:17Z</cp:lastPrinted>
  <dcterms:created xsi:type="dcterms:W3CDTF">2005-07-05T10:19:27Z</dcterms:created>
  <dcterms:modified xsi:type="dcterms:W3CDTF">2016-10-26T09:10:02Z</dcterms:modified>
</cp:coreProperties>
</file>