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" sheetId="1" r:id="rId1"/>
    <sheet name="Uniformity" sheetId="2" r:id="rId2"/>
    <sheet name="artesunate" sheetId="3" r:id="rId3"/>
    <sheet name="sodium bicarbonate" sheetId="4" r:id="rId4"/>
    <sheet name="sodium chloride" sheetId="5" r:id="rId5"/>
  </sheets>
  <definedNames>
    <definedName name="_xlnm.Print_Area" localSheetId="2">artesunate!$A$1:$J$94</definedName>
    <definedName name="_xlnm.Print_Area" localSheetId="3">'sodium bicarbonate'!$A$1:$I$68</definedName>
    <definedName name="_xlnm.Print_Area" localSheetId="4">'sodium chloride'!$A$1:$I$66</definedName>
  </definedNames>
  <calcPr calcId="145621"/>
</workbook>
</file>

<file path=xl/calcChain.xml><?xml version="1.0" encoding="utf-8"?>
<calcChain xmlns="http://schemas.openxmlformats.org/spreadsheetml/2006/main">
  <c r="B57" i="3" l="1"/>
  <c r="B21" i="1"/>
  <c r="D58" i="5"/>
  <c r="B57" i="5"/>
  <c r="D56" i="5"/>
  <c r="D57" i="5" s="1"/>
  <c r="I55" i="5"/>
  <c r="H55" i="5"/>
  <c r="G55" i="5"/>
  <c r="F55" i="5"/>
  <c r="E55" i="5"/>
  <c r="E54" i="5"/>
  <c r="E52" i="5"/>
  <c r="C48" i="5"/>
  <c r="E46" i="5"/>
  <c r="B44" i="5"/>
  <c r="G37" i="5"/>
  <c r="F37" i="5"/>
  <c r="E37" i="5"/>
  <c r="C37" i="5"/>
  <c r="C36" i="5"/>
  <c r="E36" i="5" s="1"/>
  <c r="C35" i="5"/>
  <c r="E35" i="5" s="1"/>
  <c r="C34" i="5"/>
  <c r="E34" i="5" s="1"/>
  <c r="D58" i="4"/>
  <c r="B57" i="4"/>
  <c r="D56" i="4"/>
  <c r="E54" i="4" s="1"/>
  <c r="I55" i="4"/>
  <c r="H55" i="4"/>
  <c r="G55" i="4"/>
  <c r="F55" i="4"/>
  <c r="E55" i="4"/>
  <c r="E52" i="4"/>
  <c r="C48" i="4"/>
  <c r="E46" i="4"/>
  <c r="B44" i="4"/>
  <c r="G37" i="4"/>
  <c r="F37" i="4"/>
  <c r="E37" i="4"/>
  <c r="C37" i="4"/>
  <c r="C36" i="4"/>
  <c r="E36" i="4" s="1"/>
  <c r="C35" i="4"/>
  <c r="E35" i="4" s="1"/>
  <c r="C34" i="4"/>
  <c r="E34" i="4" s="1"/>
  <c r="C76" i="3"/>
  <c r="H71" i="3"/>
  <c r="G71" i="3"/>
  <c r="B68" i="3"/>
  <c r="H67" i="3"/>
  <c r="G67" i="3"/>
  <c r="H63" i="3"/>
  <c r="G63" i="3"/>
  <c r="C56" i="3"/>
  <c r="B55" i="3"/>
  <c r="B45" i="3"/>
  <c r="D48" i="3" s="1"/>
  <c r="D49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F45" i="3"/>
  <c r="G34" i="5"/>
  <c r="F34" i="5"/>
  <c r="E40" i="5"/>
  <c r="E38" i="5"/>
  <c r="E39" i="5" s="1"/>
  <c r="G34" i="4"/>
  <c r="F34" i="4"/>
  <c r="E40" i="4"/>
  <c r="E38" i="4"/>
  <c r="E39" i="4" s="1"/>
  <c r="G35" i="5"/>
  <c r="F35" i="5"/>
  <c r="G35" i="4"/>
  <c r="F35" i="4"/>
  <c r="G36" i="5"/>
  <c r="F36" i="5"/>
  <c r="G36" i="4"/>
  <c r="F36" i="4"/>
  <c r="E53" i="4"/>
  <c r="D57" i="4"/>
  <c r="E53" i="5"/>
  <c r="D43" i="2"/>
  <c r="E23" i="2" s="1"/>
  <c r="D44" i="3"/>
  <c r="D45" i="3" s="1"/>
  <c r="G38" i="4" l="1"/>
  <c r="F53" i="4" s="1"/>
  <c r="G53" i="4" s="1"/>
  <c r="H53" i="4" s="1"/>
  <c r="I53" i="4" s="1"/>
  <c r="F38" i="4"/>
  <c r="F38" i="5"/>
  <c r="G38" i="5"/>
  <c r="F46" i="3"/>
  <c r="G40" i="3"/>
  <c r="G39" i="3"/>
  <c r="G38" i="3"/>
  <c r="D46" i="3"/>
  <c r="E38" i="3"/>
  <c r="E39" i="3"/>
  <c r="E40" i="3"/>
  <c r="E25" i="2"/>
  <c r="E27" i="2"/>
  <c r="E37" i="2"/>
  <c r="E39" i="2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33" i="2"/>
  <c r="E35" i="2"/>
  <c r="E21" i="2"/>
  <c r="E29" i="2"/>
  <c r="E31" i="2"/>
  <c r="F52" i="4" l="1"/>
  <c r="G52" i="4" s="1"/>
  <c r="F54" i="4"/>
  <c r="G54" i="4" s="1"/>
  <c r="H54" i="4" s="1"/>
  <c r="I54" i="4" s="1"/>
  <c r="F52" i="5"/>
  <c r="G52" i="5" s="1"/>
  <c r="F54" i="5"/>
  <c r="G54" i="5" s="1"/>
  <c r="H54" i="5" s="1"/>
  <c r="I54" i="5" s="1"/>
  <c r="F53" i="5"/>
  <c r="G53" i="5" s="1"/>
  <c r="H53" i="5" s="1"/>
  <c r="I53" i="5" s="1"/>
  <c r="G42" i="3"/>
  <c r="D52" i="3"/>
  <c r="D50" i="3"/>
  <c r="E42" i="3"/>
  <c r="H52" i="4" l="1"/>
  <c r="G58" i="4"/>
  <c r="G56" i="4"/>
  <c r="G58" i="5"/>
  <c r="G56" i="5"/>
  <c r="H52" i="5"/>
  <c r="D51" i="3"/>
  <c r="G70" i="3"/>
  <c r="H70" i="3" s="1"/>
  <c r="G62" i="3"/>
  <c r="H62" i="3" s="1"/>
  <c r="G66" i="3"/>
  <c r="H66" i="3" s="1"/>
  <c r="G69" i="3"/>
  <c r="H69" i="3" s="1"/>
  <c r="G61" i="3"/>
  <c r="H61" i="3" s="1"/>
  <c r="G65" i="3"/>
  <c r="H65" i="3" s="1"/>
  <c r="G64" i="3"/>
  <c r="H64" i="3" s="1"/>
  <c r="G68" i="3"/>
  <c r="H68" i="3" s="1"/>
  <c r="G60" i="3"/>
  <c r="H60" i="3" s="1"/>
  <c r="H56" i="4" l="1"/>
  <c r="H57" i="4" s="1"/>
  <c r="I52" i="4"/>
  <c r="H58" i="4"/>
  <c r="H58" i="5"/>
  <c r="I52" i="5"/>
  <c r="H56" i="5"/>
  <c r="H57" i="5" s="1"/>
  <c r="H74" i="3"/>
  <c r="H72" i="3"/>
  <c r="I58" i="4" l="1"/>
  <c r="I56" i="4"/>
  <c r="I57" i="4" s="1"/>
  <c r="I56" i="5"/>
  <c r="I57" i="5" s="1"/>
  <c r="I58" i="5"/>
  <c r="H73" i="3"/>
  <c r="G76" i="3"/>
</calcChain>
</file>

<file path=xl/sharedStrings.xml><?xml version="1.0" encoding="utf-8"?>
<sst xmlns="http://schemas.openxmlformats.org/spreadsheetml/2006/main" count="306" uniqueCount="148">
  <si>
    <t>HPLC System Suitability Report</t>
  </si>
  <si>
    <t>Analysis Data</t>
  </si>
  <si>
    <t>Assay</t>
  </si>
  <si>
    <t>Sample(s)</t>
  </si>
  <si>
    <t>Reference Substance:</t>
  </si>
  <si>
    <t>GSUNATE INJECTION</t>
  </si>
  <si>
    <t>% age Purity:</t>
  </si>
  <si>
    <t>NDQD201609113</t>
  </si>
  <si>
    <t>Weight (mg):</t>
  </si>
  <si>
    <t xml:space="preserve">ARTESUNATE </t>
  </si>
  <si>
    <t>Standard Conc (mg/mL):</t>
  </si>
  <si>
    <t>Each vial contains:  Artesunate 60 mg. The combi pack contains 1 mL ampoule of Sodium Bicarbonate Injection  BP 5% w/v and 5 mL ampoule of Sodium Chloride Injection BP  0.9 % w/v.</t>
  </si>
  <si>
    <t>2016-09-23 08:46:47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</si>
  <si>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</si>
  <si>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</si>
  <si>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</si>
  <si>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</si>
  <si>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</si>
  <si>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</si>
  <si>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</si>
  <si>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</si>
  <si>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</si>
  <si>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</si>
  <si>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</si>
  <si>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</si>
  <si>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</si>
  <si>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</si>
  <si>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</si>
  <si>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</si>
  <si>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</si>
  <si>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</si>
  <si>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</si>
  <si>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</si>
  <si>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</si>
  <si>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</si>
  <si>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</si>
  <si>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</si>
  <si>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</si>
  <si>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</si>
  <si>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2016-10-07 10:34:43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</si>
  <si>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</si>
  <si>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</si>
  <si>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</si>
  <si>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</si>
  <si>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</si>
  <si>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</si>
  <si>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</si>
  <si>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</si>
  <si>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</si>
  <si>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</si>
  <si>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</si>
  <si>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</si>
  <si>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</si>
  <si>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</si>
  <si>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</si>
  <si>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</si>
  <si>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</si>
  <si>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</si>
  <si>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</si>
  <si>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</si>
  <si>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</si>
  <si>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</si>
  <si>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</si>
  <si>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</si>
  <si>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</si>
  <si>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</si>
  <si>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</si>
  <si>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</si>
  <si>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</si>
  <si>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</si>
  <si>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</si>
  <si>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</si>
  <si>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</si>
  <si>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</si>
  <si>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</si>
  <si>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</si>
  <si>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</si>
  <si>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</si>
  <si>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</si>
  <si>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</si>
  <si>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</si>
  <si>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</si>
  <si>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</si>
  <si>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</si>
  <si>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</si>
  <si>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</si>
  <si>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</si>
  <si>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</si>
  <si>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</si>
  <si>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</si>
  <si>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</si>
  <si>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</si>
  <si>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</si>
  <si>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</si>
  <si>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</si>
  <si>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</si>
  <si>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</si>
  <si>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</si>
  <si>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</si>
  <si>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</si>
  <si>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</si>
  <si>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</si>
  <si>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</si>
  <si>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</si>
  <si>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</si>
  <si>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</si>
  <si>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</si>
  <si>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</si>
  <si>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</si>
  <si>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</si>
  <si>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</si>
  <si>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</si>
  <si>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National Quality Control Laoboratory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</si>
  <si>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</si>
  <si>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</si>
  <si>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</si>
  <si>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</si>
  <si>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</si>
  <si>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</si>
  <si>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</si>
  <si>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</si>
  <si>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</si>
  <si>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</si>
  <si>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</si>
  <si>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</si>
  <si>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</si>
  <si>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</si>
  <si>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</si>
  <si>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</si>
  <si>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</si>
  <si>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</si>
  <si>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</si>
  <si>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</si>
  <si>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</si>
  <si>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</si>
  <si>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</si>
  <si>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</si>
  <si>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</si>
  <si>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</si>
  <si>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</si>
  <si>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</si>
  <si>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</si>
  <si>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</si>
  <si>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artesunate</t>
  </si>
  <si>
    <t>A15 4</t>
  </si>
  <si>
    <t>Sodium chloride</t>
  </si>
  <si>
    <t>SODIUM CARBONATE</t>
  </si>
  <si>
    <t>sodium bicarbonate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</si>
</sst>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0.00\ &quot;M&quot;"/>
    <numFmt numFmtId="174" formatCode="0\ &quot;mL&quot;"/>
    <numFmt numFmtId="175" formatCode="0.00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5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1" fillId="2" borderId="0" xfId="0" applyFont="1" applyFill="1"/>
    <xf numFmtId="0" fontId="11" fillId="3" borderId="0" xfId="0" applyFont="1" applyFill="1" applyProtection="1">
      <protection locked="0"/>
    </xf>
    <xf numFmtId="0" fontId="17" fillId="2" borderId="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3" borderId="0" xfId="0" applyFont="1" applyFill="1" applyAlignment="1" applyProtection="1">
      <alignment vertical="center"/>
      <protection locked="0"/>
    </xf>
    <xf numFmtId="170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35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3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 applyProtection="1">
      <alignment vertical="center"/>
      <protection locked="0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170" fontId="11" fillId="3" borderId="0" xfId="0" applyNumberFormat="1" applyFont="1" applyFill="1" applyAlignment="1" applyProtection="1">
      <alignment horizontal="left" vertical="center"/>
      <protection locked="0"/>
    </xf>
    <xf numFmtId="2" fontId="11" fillId="2" borderId="55" xfId="0" applyNumberFormat="1" applyFont="1" applyFill="1" applyBorder="1"/>
    <xf numFmtId="2" fontId="11" fillId="8" borderId="55" xfId="0" applyNumberFormat="1" applyFont="1" applyFill="1" applyBorder="1"/>
    <xf numFmtId="164" fontId="11" fillId="8" borderId="55" xfId="0" applyNumberFormat="1" applyFont="1" applyFill="1" applyBorder="1"/>
    <xf numFmtId="0" fontId="11" fillId="2" borderId="0" xfId="0" applyFont="1" applyFill="1" applyAlignment="1">
      <alignment vertical="center"/>
    </xf>
    <xf numFmtId="2" fontId="11" fillId="2" borderId="56" xfId="0" applyNumberFormat="1" applyFont="1" applyFill="1" applyBorder="1"/>
    <xf numFmtId="0" fontId="17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right"/>
    </xf>
    <xf numFmtId="0" fontId="11" fillId="2" borderId="0" xfId="0" applyFont="1" applyFill="1"/>
    <xf numFmtId="0" fontId="11" fillId="2" borderId="44" xfId="0" applyFont="1" applyFill="1" applyBorder="1" applyAlignment="1">
      <alignment horizontal="right"/>
    </xf>
    <xf numFmtId="0" fontId="11" fillId="2" borderId="50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1" fillId="7" borderId="18" xfId="0" applyFont="1" applyFill="1" applyBorder="1" applyAlignment="1">
      <alignment horizontal="center"/>
    </xf>
    <xf numFmtId="164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2" fontId="12" fillId="2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Continuous"/>
    </xf>
    <xf numFmtId="0" fontId="11" fillId="2" borderId="28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right"/>
    </xf>
    <xf numFmtId="2" fontId="14" fillId="3" borderId="28" xfId="0" applyNumberFormat="1" applyFont="1" applyFill="1" applyBorder="1" applyAlignment="1" applyProtection="1">
      <alignment horizontal="center"/>
      <protection locked="0"/>
    </xf>
    <xf numFmtId="2" fontId="14" fillId="3" borderId="17" xfId="0" applyNumberFormat="1" applyFont="1" applyFill="1" applyBorder="1" applyAlignment="1" applyProtection="1">
      <alignment horizontal="center"/>
      <protection locked="0"/>
    </xf>
    <xf numFmtId="2" fontId="14" fillId="3" borderId="18" xfId="0" applyNumberFormat="1" applyFont="1" applyFill="1" applyBorder="1" applyAlignment="1" applyProtection="1">
      <alignment horizontal="center"/>
      <protection locked="0"/>
    </xf>
    <xf numFmtId="2" fontId="12" fillId="2" borderId="10" xfId="0" applyNumberFormat="1" applyFont="1" applyFill="1" applyBorder="1" applyAlignment="1">
      <alignment horizontal="center" vertical="center"/>
    </xf>
    <xf numFmtId="166" fontId="11" fillId="2" borderId="49" xfId="0" applyNumberFormat="1" applyFont="1" applyFill="1" applyBorder="1" applyAlignment="1">
      <alignment horizontal="center"/>
    </xf>
    <xf numFmtId="166" fontId="11" fillId="2" borderId="11" xfId="0" applyNumberFormat="1" applyFont="1" applyFill="1" applyBorder="1" applyAlignment="1">
      <alignment horizontal="center"/>
    </xf>
    <xf numFmtId="166" fontId="11" fillId="2" borderId="57" xfId="0" applyNumberFormat="1" applyFont="1" applyFill="1" applyBorder="1" applyAlignment="1">
      <alignment horizontal="center"/>
    </xf>
    <xf numFmtId="2" fontId="12" fillId="2" borderId="34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 applyProtection="1">
      <alignment horizontal="center"/>
      <protection locked="0"/>
    </xf>
    <xf numFmtId="2" fontId="14" fillId="2" borderId="0" xfId="0" applyNumberFormat="1" applyFont="1" applyFill="1" applyAlignment="1" applyProtection="1">
      <alignment horizontal="center"/>
      <protection locked="0"/>
    </xf>
    <xf numFmtId="2" fontId="14" fillId="3" borderId="0" xfId="0" applyNumberFormat="1" applyFont="1" applyFill="1" applyAlignment="1" applyProtection="1">
      <alignment horizontal="left"/>
      <protection locked="0"/>
    </xf>
    <xf numFmtId="2" fontId="12" fillId="2" borderId="34" xfId="0" applyNumberFormat="1" applyFont="1" applyFill="1" applyBorder="1" applyAlignment="1">
      <alignment horizontal="center" vertical="center"/>
    </xf>
    <xf numFmtId="2" fontId="12" fillId="2" borderId="12" xfId="0" applyNumberFormat="1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1" fillId="2" borderId="20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4" fillId="3" borderId="20" xfId="0" applyNumberFormat="1" applyFont="1" applyFill="1" applyBorder="1" applyAlignment="1" applyProtection="1">
      <alignment horizontal="center"/>
      <protection locked="0"/>
    </xf>
    <xf numFmtId="2" fontId="14" fillId="3" borderId="50" xfId="0" applyNumberFormat="1" applyFont="1" applyFill="1" applyBorder="1" applyAlignment="1" applyProtection="1">
      <alignment horizontal="center"/>
      <protection locked="0"/>
    </xf>
    <xf numFmtId="2" fontId="14" fillId="3" borderId="24" xfId="0" applyNumberFormat="1" applyFont="1" applyFill="1" applyBorder="1" applyAlignment="1" applyProtection="1">
      <alignment horizontal="center"/>
      <protection locked="0"/>
    </xf>
    <xf numFmtId="166" fontId="12" fillId="7" borderId="14" xfId="0" applyNumberFormat="1" applyFont="1" applyFill="1" applyBorder="1" applyAlignment="1">
      <alignment horizontal="center"/>
    </xf>
    <xf numFmtId="2" fontId="14" fillId="3" borderId="23" xfId="0" applyNumberFormat="1" applyFont="1" applyFill="1" applyBorder="1" applyAlignment="1" applyProtection="1">
      <alignment horizontal="center"/>
      <protection locked="0"/>
    </xf>
    <xf numFmtId="2" fontId="14" fillId="3" borderId="58" xfId="0" applyNumberFormat="1" applyFont="1" applyFill="1" applyBorder="1" applyAlignment="1" applyProtection="1">
      <alignment horizontal="center"/>
      <protection locked="0"/>
    </xf>
    <xf numFmtId="2" fontId="14" fillId="3" borderId="27" xfId="0" applyNumberFormat="1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2" fontId="12" fillId="2" borderId="33" xfId="0" applyNumberFormat="1" applyFont="1" applyFill="1" applyBorder="1" applyAlignment="1">
      <alignment horizontal="center" vertical="center"/>
    </xf>
    <xf numFmtId="2" fontId="14" fillId="7" borderId="14" xfId="0" applyNumberFormat="1" applyFont="1" applyFill="1" applyBorder="1" applyAlignment="1">
      <alignment horizontal="center"/>
    </xf>
    <xf numFmtId="2" fontId="11" fillId="2" borderId="49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 vertical="center"/>
    </xf>
    <xf numFmtId="166" fontId="11" fillId="2" borderId="17" xfId="0" applyNumberFormat="1" applyFont="1" applyFill="1" applyBorder="1" applyAlignment="1">
      <alignment horizontal="center" vertical="center"/>
    </xf>
    <xf numFmtId="166" fontId="11" fillId="2" borderId="18" xfId="0" applyNumberFormat="1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73" fontId="14" fillId="3" borderId="0" xfId="0" applyNumberFormat="1" applyFont="1" applyFill="1" applyAlignment="1" applyProtection="1">
      <alignment horizontal="center"/>
      <protection locked="0"/>
    </xf>
    <xf numFmtId="164" fontId="11" fillId="2" borderId="49" xfId="0" applyNumberFormat="1" applyFont="1" applyFill="1" applyBorder="1" applyAlignment="1">
      <alignment horizontal="center"/>
    </xf>
    <xf numFmtId="164" fontId="11" fillId="2" borderId="11" xfId="0" applyNumberFormat="1" applyFont="1" applyFill="1" applyBorder="1" applyAlignment="1">
      <alignment horizontal="center"/>
    </xf>
    <xf numFmtId="164" fontId="11" fillId="2" borderId="57" xfId="0" applyNumberFormat="1" applyFont="1" applyFill="1" applyBorder="1" applyAlignment="1">
      <alignment horizontal="center"/>
    </xf>
    <xf numFmtId="164" fontId="11" fillId="2" borderId="28" xfId="0" applyNumberFormat="1" applyFont="1" applyFill="1" applyBorder="1" applyAlignment="1">
      <alignment horizontal="center"/>
    </xf>
    <xf numFmtId="164" fontId="11" fillId="2" borderId="17" xfId="0" applyNumberFormat="1" applyFont="1" applyFill="1" applyBorder="1" applyAlignment="1">
      <alignment horizontal="center"/>
    </xf>
    <xf numFmtId="164" fontId="11" fillId="2" borderId="18" xfId="0" applyNumberFormat="1" applyFont="1" applyFill="1" applyBorder="1" applyAlignment="1">
      <alignment horizontal="center"/>
    </xf>
    <xf numFmtId="2" fontId="11" fillId="2" borderId="59" xfId="0" applyNumberFormat="1" applyFont="1" applyFill="1" applyBorder="1"/>
    <xf numFmtId="10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10" fontId="11" fillId="2" borderId="18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9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2" fontId="11" fillId="2" borderId="1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vertic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10" fontId="14" fillId="7" borderId="14" xfId="0" applyNumberFormat="1" applyFont="1" applyFill="1" applyBorder="1" applyAlignment="1">
      <alignment horizontal="center"/>
    </xf>
    <xf numFmtId="2" fontId="11" fillId="2" borderId="57" xfId="0" applyNumberFormat="1" applyFont="1" applyFill="1" applyBorder="1" applyAlignment="1">
      <alignment horizontal="center"/>
    </xf>
    <xf numFmtId="166" fontId="12" fillId="7" borderId="12" xfId="0" applyNumberFormat="1" applyFont="1" applyFill="1" applyBorder="1" applyAlignment="1">
      <alignment horizontal="center"/>
    </xf>
    <xf numFmtId="10" fontId="12" fillId="7" borderId="53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171" fontId="14" fillId="3" borderId="28" xfId="0" applyNumberFormat="1" applyFont="1" applyFill="1" applyBorder="1" applyAlignment="1" applyProtection="1">
      <alignment horizontal="center"/>
      <protection locked="0"/>
    </xf>
    <xf numFmtId="171" fontId="14" fillId="3" borderId="17" xfId="0" applyNumberFormat="1" applyFont="1" applyFill="1" applyBorder="1" applyAlignment="1" applyProtection="1">
      <alignment horizontal="center"/>
      <protection locked="0"/>
    </xf>
    <xf numFmtId="171" fontId="14" fillId="3" borderId="18" xfId="0" applyNumberFormat="1" applyFont="1" applyFill="1" applyBorder="1" applyAlignment="1" applyProtection="1">
      <alignment horizontal="center"/>
      <protection locked="0"/>
    </xf>
    <xf numFmtId="171" fontId="14" fillId="3" borderId="21" xfId="0" applyNumberFormat="1" applyFont="1" applyFill="1" applyBorder="1" applyAlignment="1" applyProtection="1">
      <alignment horizontal="center"/>
      <protection locked="0"/>
    </xf>
    <xf numFmtId="171" fontId="14" fillId="3" borderId="37" xfId="0" applyNumberFormat="1" applyFont="1" applyFill="1" applyBorder="1" applyAlignment="1" applyProtection="1">
      <alignment horizontal="center"/>
      <protection locked="0"/>
    </xf>
    <xf numFmtId="171" fontId="14" fillId="3" borderId="25" xfId="0" applyNumberFormat="1" applyFont="1" applyFill="1" applyBorder="1" applyAlignment="1" applyProtection="1">
      <alignment horizontal="center"/>
      <protection locked="0"/>
    </xf>
    <xf numFmtId="171" fontId="11" fillId="2" borderId="49" xfId="0" applyNumberFormat="1" applyFont="1" applyFill="1" applyBorder="1" applyAlignment="1">
      <alignment horizontal="center" vertical="center"/>
    </xf>
    <xf numFmtId="171" fontId="11" fillId="2" borderId="11" xfId="0" applyNumberFormat="1" applyFont="1" applyFill="1" applyBorder="1" applyAlignment="1">
      <alignment horizontal="center" vertical="center"/>
    </xf>
    <xf numFmtId="2" fontId="14" fillId="7" borderId="44" xfId="0" applyNumberFormat="1" applyFont="1" applyFill="1" applyBorder="1" applyAlignment="1">
      <alignment horizontal="center"/>
    </xf>
    <xf numFmtId="10" fontId="13" fillId="6" borderId="50" xfId="0" applyNumberFormat="1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2" fillId="2" borderId="12" xfId="0" applyNumberFormat="1" applyFont="1" applyFill="1" applyBorder="1" applyAlignment="1">
      <alignment vertical="center"/>
    </xf>
    <xf numFmtId="174" fontId="14" fillId="3" borderId="0" xfId="0" applyNumberFormat="1" applyFont="1" applyFill="1" applyAlignment="1" applyProtection="1">
      <alignment horizontal="center"/>
      <protection locked="0"/>
    </xf>
    <xf numFmtId="172" fontId="14" fillId="3" borderId="0" xfId="0" applyNumberFormat="1" applyFont="1" applyFill="1" applyAlignment="1" applyProtection="1">
      <alignment horizontal="center"/>
      <protection locked="0"/>
    </xf>
    <xf numFmtId="175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1" fillId="2" borderId="0" xfId="0" applyFont="1" applyFill="1"/>
    <xf numFmtId="0" fontId="11" fillId="3" borderId="0" xfId="0" applyFont="1" applyFill="1" applyProtection="1">
      <protection locked="0"/>
    </xf>
    <xf numFmtId="0" fontId="17" fillId="2" borderId="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3" borderId="0" xfId="0" applyFont="1" applyFill="1" applyAlignment="1" applyProtection="1">
      <alignment vertical="center"/>
      <protection locked="0"/>
    </xf>
    <xf numFmtId="170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35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3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 applyProtection="1">
      <alignment vertical="center"/>
      <protection locked="0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170" fontId="11" fillId="3" borderId="0" xfId="0" applyNumberFormat="1" applyFont="1" applyFill="1" applyAlignment="1" applyProtection="1">
      <alignment horizontal="left" vertical="center"/>
      <protection locked="0"/>
    </xf>
    <xf numFmtId="2" fontId="11" fillId="2" borderId="55" xfId="0" applyNumberFormat="1" applyFont="1" applyFill="1" applyBorder="1"/>
    <xf numFmtId="2" fontId="11" fillId="8" borderId="55" xfId="0" applyNumberFormat="1" applyFont="1" applyFill="1" applyBorder="1"/>
    <xf numFmtId="164" fontId="11" fillId="8" borderId="55" xfId="0" applyNumberFormat="1" applyFont="1" applyFill="1" applyBorder="1"/>
    <xf numFmtId="0" fontId="11" fillId="2" borderId="0" xfId="0" applyFont="1" applyFill="1" applyAlignment="1">
      <alignment vertical="center"/>
    </xf>
    <xf numFmtId="2" fontId="11" fillId="2" borderId="56" xfId="0" applyNumberFormat="1" applyFont="1" applyFill="1" applyBorder="1"/>
    <xf numFmtId="0" fontId="17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right"/>
    </xf>
    <xf numFmtId="0" fontId="11" fillId="2" borderId="0" xfId="0" applyFont="1" applyFill="1"/>
    <xf numFmtId="0" fontId="11" fillId="2" borderId="44" xfId="0" applyFont="1" applyFill="1" applyBorder="1" applyAlignment="1">
      <alignment horizontal="right"/>
    </xf>
    <xf numFmtId="0" fontId="11" fillId="2" borderId="50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1" fillId="7" borderId="18" xfId="0" applyFont="1" applyFill="1" applyBorder="1" applyAlignment="1">
      <alignment horizontal="center"/>
    </xf>
    <xf numFmtId="164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2" fontId="12" fillId="2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Continuous"/>
    </xf>
    <xf numFmtId="0" fontId="11" fillId="2" borderId="28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right"/>
    </xf>
    <xf numFmtId="2" fontId="14" fillId="3" borderId="28" xfId="0" applyNumberFormat="1" applyFont="1" applyFill="1" applyBorder="1" applyAlignment="1" applyProtection="1">
      <alignment horizontal="center"/>
      <protection locked="0"/>
    </xf>
    <xf numFmtId="2" fontId="14" fillId="3" borderId="17" xfId="0" applyNumberFormat="1" applyFont="1" applyFill="1" applyBorder="1" applyAlignment="1" applyProtection="1">
      <alignment horizontal="center"/>
      <protection locked="0"/>
    </xf>
    <xf numFmtId="2" fontId="14" fillId="3" borderId="18" xfId="0" applyNumberFormat="1" applyFont="1" applyFill="1" applyBorder="1" applyAlignment="1" applyProtection="1">
      <alignment horizontal="center"/>
      <protection locked="0"/>
    </xf>
    <xf numFmtId="2" fontId="12" fillId="2" borderId="10" xfId="0" applyNumberFormat="1" applyFont="1" applyFill="1" applyBorder="1" applyAlignment="1">
      <alignment horizontal="center" vertical="center"/>
    </xf>
    <xf numFmtId="166" fontId="11" fillId="2" borderId="49" xfId="0" applyNumberFormat="1" applyFont="1" applyFill="1" applyBorder="1" applyAlignment="1">
      <alignment horizontal="center"/>
    </xf>
    <xf numFmtId="166" fontId="11" fillId="2" borderId="11" xfId="0" applyNumberFormat="1" applyFont="1" applyFill="1" applyBorder="1" applyAlignment="1">
      <alignment horizontal="center"/>
    </xf>
    <xf numFmtId="166" fontId="11" fillId="2" borderId="57" xfId="0" applyNumberFormat="1" applyFont="1" applyFill="1" applyBorder="1" applyAlignment="1">
      <alignment horizontal="center"/>
    </xf>
    <xf numFmtId="2" fontId="12" fillId="2" borderId="34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 applyProtection="1">
      <alignment horizontal="center"/>
      <protection locked="0"/>
    </xf>
    <xf numFmtId="2" fontId="14" fillId="2" borderId="0" xfId="0" applyNumberFormat="1" applyFont="1" applyFill="1" applyAlignment="1" applyProtection="1">
      <alignment horizontal="center"/>
      <protection locked="0"/>
    </xf>
    <xf numFmtId="2" fontId="14" fillId="3" borderId="0" xfId="0" applyNumberFormat="1" applyFont="1" applyFill="1" applyAlignment="1" applyProtection="1">
      <alignment horizontal="left"/>
      <protection locked="0"/>
    </xf>
    <xf numFmtId="2" fontId="12" fillId="2" borderId="34" xfId="0" applyNumberFormat="1" applyFont="1" applyFill="1" applyBorder="1" applyAlignment="1">
      <alignment horizontal="center" vertical="center"/>
    </xf>
    <xf numFmtId="2" fontId="12" fillId="2" borderId="12" xfId="0" applyNumberFormat="1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1" fillId="2" borderId="20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4" fillId="3" borderId="20" xfId="0" applyNumberFormat="1" applyFont="1" applyFill="1" applyBorder="1" applyAlignment="1" applyProtection="1">
      <alignment horizontal="center"/>
      <protection locked="0"/>
    </xf>
    <xf numFmtId="2" fontId="14" fillId="3" borderId="50" xfId="0" applyNumberFormat="1" applyFont="1" applyFill="1" applyBorder="1" applyAlignment="1" applyProtection="1">
      <alignment horizontal="center"/>
      <protection locked="0"/>
    </xf>
    <xf numFmtId="2" fontId="14" fillId="3" borderId="24" xfId="0" applyNumberFormat="1" applyFont="1" applyFill="1" applyBorder="1" applyAlignment="1" applyProtection="1">
      <alignment horizontal="center"/>
      <protection locked="0"/>
    </xf>
    <xf numFmtId="166" fontId="12" fillId="7" borderId="14" xfId="0" applyNumberFormat="1" applyFont="1" applyFill="1" applyBorder="1" applyAlignment="1">
      <alignment horizontal="center"/>
    </xf>
    <xf numFmtId="2" fontId="14" fillId="3" borderId="23" xfId="0" applyNumberFormat="1" applyFont="1" applyFill="1" applyBorder="1" applyAlignment="1" applyProtection="1">
      <alignment horizontal="center"/>
      <protection locked="0"/>
    </xf>
    <xf numFmtId="2" fontId="14" fillId="3" borderId="58" xfId="0" applyNumberFormat="1" applyFont="1" applyFill="1" applyBorder="1" applyAlignment="1" applyProtection="1">
      <alignment horizontal="center"/>
      <protection locked="0"/>
    </xf>
    <xf numFmtId="2" fontId="14" fillId="3" borderId="27" xfId="0" applyNumberFormat="1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2" fontId="12" fillId="2" borderId="33" xfId="0" applyNumberFormat="1" applyFont="1" applyFill="1" applyBorder="1" applyAlignment="1">
      <alignment horizontal="center" vertical="center"/>
    </xf>
    <xf numFmtId="2" fontId="14" fillId="7" borderId="14" xfId="0" applyNumberFormat="1" applyFont="1" applyFill="1" applyBorder="1" applyAlignment="1">
      <alignment horizontal="center"/>
    </xf>
    <xf numFmtId="2" fontId="11" fillId="2" borderId="49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 vertical="center"/>
    </xf>
    <xf numFmtId="166" fontId="11" fillId="2" borderId="17" xfId="0" applyNumberFormat="1" applyFont="1" applyFill="1" applyBorder="1" applyAlignment="1">
      <alignment horizontal="center" vertical="center"/>
    </xf>
    <xf numFmtId="166" fontId="11" fillId="2" borderId="18" xfId="0" applyNumberFormat="1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73" fontId="14" fillId="3" borderId="0" xfId="0" applyNumberFormat="1" applyFont="1" applyFill="1" applyAlignment="1" applyProtection="1">
      <alignment horizontal="center"/>
      <protection locked="0"/>
    </xf>
    <xf numFmtId="164" fontId="11" fillId="2" borderId="49" xfId="0" applyNumberFormat="1" applyFont="1" applyFill="1" applyBorder="1" applyAlignment="1">
      <alignment horizontal="center"/>
    </xf>
    <xf numFmtId="164" fontId="11" fillId="2" borderId="11" xfId="0" applyNumberFormat="1" applyFont="1" applyFill="1" applyBorder="1" applyAlignment="1">
      <alignment horizontal="center"/>
    </xf>
    <xf numFmtId="164" fontId="11" fillId="2" borderId="57" xfId="0" applyNumberFormat="1" applyFont="1" applyFill="1" applyBorder="1" applyAlignment="1">
      <alignment horizontal="center"/>
    </xf>
    <xf numFmtId="164" fontId="11" fillId="2" borderId="28" xfId="0" applyNumberFormat="1" applyFont="1" applyFill="1" applyBorder="1" applyAlignment="1">
      <alignment horizontal="center"/>
    </xf>
    <xf numFmtId="164" fontId="11" fillId="2" borderId="17" xfId="0" applyNumberFormat="1" applyFont="1" applyFill="1" applyBorder="1" applyAlignment="1">
      <alignment horizontal="center"/>
    </xf>
    <xf numFmtId="164" fontId="11" fillId="2" borderId="18" xfId="0" applyNumberFormat="1" applyFont="1" applyFill="1" applyBorder="1" applyAlignment="1">
      <alignment horizontal="center"/>
    </xf>
    <xf numFmtId="2" fontId="11" fillId="2" borderId="59" xfId="0" applyNumberFormat="1" applyFont="1" applyFill="1" applyBorder="1"/>
    <xf numFmtId="10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10" fontId="11" fillId="2" borderId="18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9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2" fontId="11" fillId="2" borderId="1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vertic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10" fontId="14" fillId="7" borderId="14" xfId="0" applyNumberFormat="1" applyFont="1" applyFill="1" applyBorder="1" applyAlignment="1">
      <alignment horizontal="center"/>
    </xf>
    <xf numFmtId="2" fontId="11" fillId="2" borderId="57" xfId="0" applyNumberFormat="1" applyFont="1" applyFill="1" applyBorder="1" applyAlignment="1">
      <alignment horizontal="center"/>
    </xf>
    <xf numFmtId="166" fontId="12" fillId="7" borderId="12" xfId="0" applyNumberFormat="1" applyFont="1" applyFill="1" applyBorder="1" applyAlignment="1">
      <alignment horizontal="center"/>
    </xf>
    <xf numFmtId="10" fontId="12" fillId="7" borderId="53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171" fontId="14" fillId="3" borderId="28" xfId="0" applyNumberFormat="1" applyFont="1" applyFill="1" applyBorder="1" applyAlignment="1" applyProtection="1">
      <alignment horizontal="center"/>
      <protection locked="0"/>
    </xf>
    <xf numFmtId="171" fontId="14" fillId="3" borderId="17" xfId="0" applyNumberFormat="1" applyFont="1" applyFill="1" applyBorder="1" applyAlignment="1" applyProtection="1">
      <alignment horizontal="center"/>
      <protection locked="0"/>
    </xf>
    <xf numFmtId="171" fontId="14" fillId="3" borderId="18" xfId="0" applyNumberFormat="1" applyFont="1" applyFill="1" applyBorder="1" applyAlignment="1" applyProtection="1">
      <alignment horizontal="center"/>
      <protection locked="0"/>
    </xf>
    <xf numFmtId="171" fontId="14" fillId="3" borderId="21" xfId="0" applyNumberFormat="1" applyFont="1" applyFill="1" applyBorder="1" applyAlignment="1" applyProtection="1">
      <alignment horizontal="center"/>
      <protection locked="0"/>
    </xf>
    <xf numFmtId="171" fontId="14" fillId="3" borderId="37" xfId="0" applyNumberFormat="1" applyFont="1" applyFill="1" applyBorder="1" applyAlignment="1" applyProtection="1">
      <alignment horizontal="center"/>
      <protection locked="0"/>
    </xf>
    <xf numFmtId="171" fontId="14" fillId="3" borderId="25" xfId="0" applyNumberFormat="1" applyFont="1" applyFill="1" applyBorder="1" applyAlignment="1" applyProtection="1">
      <alignment horizontal="center"/>
      <protection locked="0"/>
    </xf>
    <xf numFmtId="171" fontId="11" fillId="2" borderId="49" xfId="0" applyNumberFormat="1" applyFont="1" applyFill="1" applyBorder="1" applyAlignment="1">
      <alignment horizontal="center" vertical="center"/>
    </xf>
    <xf numFmtId="171" fontId="11" fillId="2" borderId="11" xfId="0" applyNumberFormat="1" applyFont="1" applyFill="1" applyBorder="1" applyAlignment="1">
      <alignment horizontal="center" vertical="center"/>
    </xf>
    <xf numFmtId="2" fontId="14" fillId="7" borderId="44" xfId="0" applyNumberFormat="1" applyFont="1" applyFill="1" applyBorder="1" applyAlignment="1">
      <alignment horizontal="center"/>
    </xf>
    <xf numFmtId="10" fontId="13" fillId="6" borderId="50" xfId="0" applyNumberFormat="1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2" fillId="2" borderId="12" xfId="0" applyNumberFormat="1" applyFont="1" applyFill="1" applyBorder="1" applyAlignment="1">
      <alignment vertical="center"/>
    </xf>
    <xf numFmtId="174" fontId="14" fillId="3" borderId="0" xfId="0" applyNumberFormat="1" applyFont="1" applyFill="1" applyAlignment="1" applyProtection="1">
      <alignment horizontal="center"/>
      <protection locked="0"/>
    </xf>
    <xf numFmtId="172" fontId="14" fillId="3" borderId="0" xfId="0" applyNumberFormat="1" applyFont="1" applyFill="1" applyAlignment="1" applyProtection="1">
      <alignment horizontal="center"/>
      <protection locked="0"/>
    </xf>
    <xf numFmtId="175" fontId="14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2" fontId="12" fillId="2" borderId="54" xfId="0" applyNumberFormat="1" applyFont="1" applyFill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2" borderId="30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25" t="s">
        <v>0</v>
      </c>
      <c r="B15" s="525"/>
      <c r="C15" s="525"/>
      <c r="D15" s="525"/>
      <c r="E15" s="52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40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</f>
        <v>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22241098</v>
      </c>
      <c r="C24" s="18">
        <v>11257.6</v>
      </c>
      <c r="D24" s="19">
        <v>0.9</v>
      </c>
      <c r="E24" s="20">
        <v>9.4</v>
      </c>
    </row>
    <row r="25" spans="1:6" ht="16.5" customHeight="1" x14ac:dyDescent="0.3">
      <c r="A25" s="17">
        <v>2</v>
      </c>
      <c r="B25" s="18">
        <v>22117456</v>
      </c>
      <c r="C25" s="18">
        <v>11232</v>
      </c>
      <c r="D25" s="19">
        <v>0.9</v>
      </c>
      <c r="E25" s="19">
        <v>9.4</v>
      </c>
    </row>
    <row r="26" spans="1:6" ht="16.5" customHeight="1" x14ac:dyDescent="0.3">
      <c r="A26" s="17">
        <v>3</v>
      </c>
      <c r="B26" s="18">
        <v>22175474</v>
      </c>
      <c r="C26" s="18">
        <v>11216.5</v>
      </c>
      <c r="D26" s="19">
        <v>0.9</v>
      </c>
      <c r="E26" s="19">
        <v>9.4</v>
      </c>
    </row>
    <row r="27" spans="1:6" ht="16.5" customHeight="1" x14ac:dyDescent="0.3">
      <c r="A27" s="17">
        <v>4</v>
      </c>
      <c r="B27" s="18">
        <v>22161391</v>
      </c>
      <c r="C27" s="18">
        <v>11266.4</v>
      </c>
      <c r="D27" s="19">
        <v>1</v>
      </c>
      <c r="E27" s="19">
        <v>9.4</v>
      </c>
    </row>
    <row r="28" spans="1:6" ht="16.5" customHeight="1" x14ac:dyDescent="0.3">
      <c r="A28" s="17">
        <v>5</v>
      </c>
      <c r="B28" s="18">
        <v>22166830</v>
      </c>
      <c r="C28" s="18">
        <v>11297.9</v>
      </c>
      <c r="D28" s="19">
        <v>0.9</v>
      </c>
      <c r="E28" s="19">
        <v>9.4</v>
      </c>
    </row>
    <row r="29" spans="1:6" ht="16.5" customHeight="1" x14ac:dyDescent="0.3">
      <c r="A29" s="17">
        <v>6</v>
      </c>
      <c r="B29" s="21">
        <v>22169328</v>
      </c>
      <c r="C29" s="21">
        <v>11306</v>
      </c>
      <c r="D29" s="22">
        <v>1</v>
      </c>
      <c r="E29" s="22">
        <v>9.4</v>
      </c>
    </row>
    <row r="30" spans="1:6" ht="16.5" customHeight="1" x14ac:dyDescent="0.3">
      <c r="A30" s="23" t="s">
        <v>18</v>
      </c>
      <c r="B30" s="24">
        <f>AVERAGE(B24:B29)</f>
        <v>22171929.5</v>
      </c>
      <c r="C30" s="25">
        <f>AVERAGE(C24:C29)</f>
        <v>11262.733333333332</v>
      </c>
      <c r="D30" s="26">
        <f>AVERAGE(D24:D29)</f>
        <v>0.93333333333333346</v>
      </c>
      <c r="E30" s="26">
        <f>AVERAGE(E24:E29)</f>
        <v>9.4</v>
      </c>
    </row>
    <row r="31" spans="1:6" ht="16.5" customHeight="1" x14ac:dyDescent="0.3">
      <c r="A31" s="27" t="s">
        <v>19</v>
      </c>
      <c r="B31" s="28">
        <f>(STDEV(B24:B29)/B30)</f>
        <v>1.7936839865653911E-3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26" t="s">
        <v>26</v>
      </c>
      <c r="C59" s="52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2" workbookViewId="0">
      <selection activeCell="E40" sqref="E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529" t="s">
        <v>31</v>
      </c>
      <c r="B8" s="529"/>
      <c r="C8" s="529"/>
      <c r="D8" s="529"/>
      <c r="E8" s="529"/>
      <c r="F8" s="529"/>
      <c r="G8" s="52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530" t="s">
        <v>32</v>
      </c>
      <c r="B10" s="530"/>
      <c r="C10" s="530"/>
      <c r="D10" s="530"/>
      <c r="E10" s="530"/>
      <c r="F10" s="530"/>
      <c r="G10" s="53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527" t="s">
        <v>33</v>
      </c>
      <c r="B11" s="527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527" t="s">
        <v>34</v>
      </c>
      <c r="B12" s="527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527" t="s">
        <v>35</v>
      </c>
      <c r="B13" s="527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527" t="s">
        <v>36</v>
      </c>
      <c r="B14" s="527"/>
      <c r="C14" s="528" t="s">
        <v>11</v>
      </c>
      <c r="D14" s="528"/>
      <c r="E14" s="528"/>
      <c r="F14" s="528"/>
      <c r="G14" s="52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527" t="s">
        <v>37</v>
      </c>
      <c r="B15" s="527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527" t="s">
        <v>38</v>
      </c>
      <c r="B16" s="527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531" t="s">
        <v>1</v>
      </c>
      <c r="B18" s="531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15710.35</v>
      </c>
      <c r="C21" s="83">
        <v>15653.7</v>
      </c>
      <c r="D21" s="84">
        <f t="shared" ref="D21:D40" si="0">B21-C21</f>
        <v>56.649999999999636</v>
      </c>
      <c r="E21" s="85">
        <f t="shared" ref="E21:E40" si="1">(D21-$D$43)/$D$43</f>
        <v>-0.10309996516894017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15983.8</v>
      </c>
      <c r="C22" s="88">
        <v>15923.83</v>
      </c>
      <c r="D22" s="89">
        <f t="shared" si="0"/>
        <v>59.969999999999345</v>
      </c>
      <c r="E22" s="85">
        <f t="shared" si="1"/>
        <v>-5.053671511353193E-2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17270.89</v>
      </c>
      <c r="C23" s="88">
        <v>17209.669999999998</v>
      </c>
      <c r="D23" s="89">
        <f t="shared" si="0"/>
        <v>61.220000000001164</v>
      </c>
      <c r="E23" s="85">
        <f t="shared" si="1"/>
        <v>-3.0746334821555518E-2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16059.94</v>
      </c>
      <c r="C24" s="88">
        <v>15994.96</v>
      </c>
      <c r="D24" s="89">
        <f t="shared" si="0"/>
        <v>64.980000000001382</v>
      </c>
      <c r="E24" s="85">
        <f t="shared" si="1"/>
        <v>2.878312909662634E-2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15928.77</v>
      </c>
      <c r="C25" s="88">
        <v>15868.5</v>
      </c>
      <c r="D25" s="89">
        <f t="shared" si="0"/>
        <v>60.270000000000437</v>
      </c>
      <c r="E25" s="85">
        <f t="shared" si="1"/>
        <v>-4.5787023843447218E-2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16917.669999999998</v>
      </c>
      <c r="C26" s="88">
        <v>16850.03</v>
      </c>
      <c r="D26" s="89">
        <f t="shared" si="0"/>
        <v>67.639999999999418</v>
      </c>
      <c r="E26" s="85">
        <f t="shared" si="1"/>
        <v>7.0897058357859755E-2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15999.54</v>
      </c>
      <c r="C27" s="88">
        <v>15938.68</v>
      </c>
      <c r="D27" s="89">
        <f t="shared" si="0"/>
        <v>60.860000000000582</v>
      </c>
      <c r="E27" s="85">
        <f t="shared" si="1"/>
        <v>-3.6445964345645648E-2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16211.65</v>
      </c>
      <c r="C28" s="88">
        <v>16148.19</v>
      </c>
      <c r="D28" s="89">
        <f t="shared" si="0"/>
        <v>63.459999999999127</v>
      </c>
      <c r="E28" s="85">
        <f t="shared" si="1"/>
        <v>4.7180266615823394E-3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16048.4</v>
      </c>
      <c r="C29" s="88">
        <v>15986.96</v>
      </c>
      <c r="D29" s="89">
        <f t="shared" si="0"/>
        <v>61.440000000000509</v>
      </c>
      <c r="E29" s="85">
        <f t="shared" si="1"/>
        <v>-2.7263227890183109E-2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15937.57</v>
      </c>
      <c r="C30" s="88">
        <v>15875.91</v>
      </c>
      <c r="D30" s="89">
        <f t="shared" si="0"/>
        <v>61.659999999999854</v>
      </c>
      <c r="E30" s="85">
        <f t="shared" si="1"/>
        <v>-2.3780120958810696E-2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16084.74</v>
      </c>
      <c r="C31" s="88">
        <v>16021.64</v>
      </c>
      <c r="D31" s="89">
        <f t="shared" si="0"/>
        <v>63.100000000000364</v>
      </c>
      <c r="E31" s="85">
        <f t="shared" si="1"/>
        <v>-9.8160286247898866E-4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15966.06</v>
      </c>
      <c r="C32" s="88">
        <v>15901.46</v>
      </c>
      <c r="D32" s="89">
        <f t="shared" si="0"/>
        <v>64.600000000000364</v>
      </c>
      <c r="E32" s="85">
        <f t="shared" si="1"/>
        <v>2.2766853487858139E-2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17212.060000000001</v>
      </c>
      <c r="C33" s="88">
        <v>17147.91</v>
      </c>
      <c r="D33" s="89">
        <f t="shared" si="0"/>
        <v>64.150000000001455</v>
      </c>
      <c r="E33" s="85">
        <f t="shared" si="1"/>
        <v>1.564231658277428E-2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15968.56</v>
      </c>
      <c r="C34" s="88">
        <v>15903.08</v>
      </c>
      <c r="D34" s="89">
        <f t="shared" si="0"/>
        <v>65.479999999999563</v>
      </c>
      <c r="E34" s="85">
        <f t="shared" si="1"/>
        <v>3.6699281213376587E-2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16159.29</v>
      </c>
      <c r="C35" s="88">
        <v>16088.77</v>
      </c>
      <c r="D35" s="89">
        <f t="shared" si="0"/>
        <v>70.520000000000437</v>
      </c>
      <c r="E35" s="85">
        <f t="shared" si="1"/>
        <v>0.11649409455052316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15929.19</v>
      </c>
      <c r="C36" s="88">
        <v>15866.55</v>
      </c>
      <c r="D36" s="89">
        <f t="shared" si="0"/>
        <v>62.640000000001237</v>
      </c>
      <c r="E36" s="85">
        <f t="shared" si="1"/>
        <v>-8.2644628099018853E-3</v>
      </c>
      <c r="G36" s="66"/>
      <c r="H36" s="66"/>
    </row>
    <row r="37" spans="1:15" ht="15" x14ac:dyDescent="0.3">
      <c r="A37" s="86">
        <v>17</v>
      </c>
      <c r="B37" s="90">
        <v>15345.21</v>
      </c>
      <c r="C37" s="88">
        <v>15280.72</v>
      </c>
      <c r="D37" s="89">
        <f t="shared" si="0"/>
        <v>64.489999999999782</v>
      </c>
      <c r="E37" s="85">
        <f t="shared" si="1"/>
        <v>2.1025300022157536E-2</v>
      </c>
    </row>
    <row r="38" spans="1:15" ht="15" x14ac:dyDescent="0.3">
      <c r="A38" s="86">
        <v>18</v>
      </c>
      <c r="B38" s="90">
        <v>17176.7</v>
      </c>
      <c r="C38" s="88">
        <v>17110.61</v>
      </c>
      <c r="D38" s="89">
        <f t="shared" si="0"/>
        <v>66.090000000000146</v>
      </c>
      <c r="E38" s="85">
        <f t="shared" si="1"/>
        <v>4.6356986795856231E-2</v>
      </c>
    </row>
    <row r="39" spans="1:15" ht="15" x14ac:dyDescent="0.3">
      <c r="A39" s="86">
        <v>19</v>
      </c>
      <c r="B39" s="90">
        <v>15916.14</v>
      </c>
      <c r="C39" s="88">
        <v>15854.63</v>
      </c>
      <c r="D39" s="89">
        <f t="shared" si="0"/>
        <v>61.510000000000218</v>
      </c>
      <c r="E39" s="85">
        <f t="shared" si="1"/>
        <v>-2.615496659383865E-2</v>
      </c>
    </row>
    <row r="40" spans="1:15" ht="14.25" customHeight="1" x14ac:dyDescent="0.3">
      <c r="A40" s="91">
        <v>20</v>
      </c>
      <c r="B40" s="92">
        <v>15632.02</v>
      </c>
      <c r="C40" s="93">
        <v>15569.51</v>
      </c>
      <c r="D40" s="94">
        <f t="shared" si="0"/>
        <v>62.510000000000218</v>
      </c>
      <c r="E40" s="95">
        <f t="shared" si="1"/>
        <v>-1.0322662360280564E-2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323458.55000000005</v>
      </c>
      <c r="C42" s="98">
        <f>SUM(C21:C40)</f>
        <v>322195.30999999994</v>
      </c>
      <c r="D42" s="99">
        <f>SUM(D21:D40)</f>
        <v>1263.2400000000052</v>
      </c>
    </row>
    <row r="43" spans="1:15" ht="15.75" customHeight="1" x14ac:dyDescent="0.3">
      <c r="A43" s="100" t="s">
        <v>47</v>
      </c>
      <c r="B43" s="101">
        <f>AVERAGE(B21:B40)</f>
        <v>16172.927500000002</v>
      </c>
      <c r="C43" s="102">
        <f>AVERAGE(C21:C40)</f>
        <v>16109.765499999998</v>
      </c>
      <c r="D43" s="103">
        <f>AVERAGE(D21:D40)</f>
        <v>63.162000000000262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532">
        <f>D43</f>
        <v>63.162000000000262</v>
      </c>
      <c r="C47" s="107">
        <f>-(IF(D43&gt;300, 7.5%, 10%))</f>
        <v>-0.1</v>
      </c>
      <c r="D47" s="108">
        <f>IF(D43&lt;300, D43*0.9, D43*0.925)</f>
        <v>56.845800000000239</v>
      </c>
    </row>
    <row r="48" spans="1:15" ht="15.75" customHeight="1" x14ac:dyDescent="0.3">
      <c r="B48" s="533"/>
      <c r="C48" s="109">
        <f>+(IF(D43&gt;300, 7.5%, 10%))</f>
        <v>0.1</v>
      </c>
      <c r="D48" s="108">
        <f>IF(D43&lt;300, D43*1.1, D43*1.075)</f>
        <v>69.478200000000299</v>
      </c>
    </row>
    <row r="49" spans="1:7" ht="14.25" customHeight="1" x14ac:dyDescent="0.3">
      <c r="A49" s="110"/>
      <c r="D49" s="111"/>
    </row>
    <row r="50" spans="1:7" ht="15" customHeight="1" x14ac:dyDescent="0.3">
      <c r="B50" s="526" t="s">
        <v>26</v>
      </c>
      <c r="C50" s="526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35" priority="1" operator="notBetween">
      <formula>IF(+$D$43&lt;300, -10.5%, -7.5%)</formula>
      <formula>IF(+$D$43&lt;300, 10.5%, 7.5%)</formula>
    </cfRule>
  </conditionalFormatting>
  <conditionalFormatting sqref="E22">
    <cfRule type="cellIs" dxfId="34" priority="2" operator="notBetween">
      <formula>IF(+$D$43&lt;300, -10.5%, -7.5%)</formula>
      <formula>IF(+$D$43&lt;300, 10.5%, 7.5%)</formula>
    </cfRule>
  </conditionalFormatting>
  <conditionalFormatting sqref="E23">
    <cfRule type="cellIs" dxfId="33" priority="3" operator="notBetween">
      <formula>IF(+$D$43&lt;300, -10.5%, -7.5%)</formula>
      <formula>IF(+$D$43&lt;300, 10.5%, 7.5%)</formula>
    </cfRule>
  </conditionalFormatting>
  <conditionalFormatting sqref="E24">
    <cfRule type="cellIs" dxfId="32" priority="4" operator="notBetween">
      <formula>IF(+$D$43&lt;300, -10.5%, -7.5%)</formula>
      <formula>IF(+$D$43&lt;300, 10.5%, 7.5%)</formula>
    </cfRule>
  </conditionalFormatting>
  <conditionalFormatting sqref="E25">
    <cfRule type="cellIs" dxfId="31" priority="5" operator="notBetween">
      <formula>IF(+$D$43&lt;300, -10.5%, -7.5%)</formula>
      <formula>IF(+$D$43&lt;300, 10.5%, 7.5%)</formula>
    </cfRule>
  </conditionalFormatting>
  <conditionalFormatting sqref="E26">
    <cfRule type="cellIs" dxfId="30" priority="6" operator="notBetween">
      <formula>IF(+$D$43&lt;300, -10.5%, -7.5%)</formula>
      <formula>IF(+$D$43&lt;300, 10.5%, 7.5%)</formula>
    </cfRule>
  </conditionalFormatting>
  <conditionalFormatting sqref="E27">
    <cfRule type="cellIs" dxfId="29" priority="7" operator="notBetween">
      <formula>IF(+$D$43&lt;300, -10.5%, -7.5%)</formula>
      <formula>IF(+$D$43&lt;300, 10.5%, 7.5%)</formula>
    </cfRule>
  </conditionalFormatting>
  <conditionalFormatting sqref="E28">
    <cfRule type="cellIs" dxfId="28" priority="8" operator="notBetween">
      <formula>IF(+$D$43&lt;300, -10.5%, -7.5%)</formula>
      <formula>IF(+$D$43&lt;300, 10.5%, 7.5%)</formula>
    </cfRule>
  </conditionalFormatting>
  <conditionalFormatting sqref="E29">
    <cfRule type="cellIs" dxfId="27" priority="9" operator="notBetween">
      <formula>IF(+$D$43&lt;300, -10.5%, -7.5%)</formula>
      <formula>IF(+$D$43&lt;300, 10.5%, 7.5%)</formula>
    </cfRule>
  </conditionalFormatting>
  <conditionalFormatting sqref="E30">
    <cfRule type="cellIs" dxfId="26" priority="10" operator="notBetween">
      <formula>IF(+$D$43&lt;300, -10.5%, -7.5%)</formula>
      <formula>IF(+$D$43&lt;300, 10.5%, 7.5%)</formula>
    </cfRule>
  </conditionalFormatting>
  <conditionalFormatting sqref="E31">
    <cfRule type="cellIs" dxfId="25" priority="11" operator="notBetween">
      <formula>IF(+$D$43&lt;300, -10.5%, -7.5%)</formula>
      <formula>IF(+$D$43&lt;300, 10.5%, 7.5%)</formula>
    </cfRule>
  </conditionalFormatting>
  <conditionalFormatting sqref="E32">
    <cfRule type="cellIs" dxfId="24" priority="12" operator="notBetween">
      <formula>IF(+$D$43&lt;300, -10.5%, -7.5%)</formula>
      <formula>IF(+$D$43&lt;300, 10.5%, 7.5%)</formula>
    </cfRule>
  </conditionalFormatting>
  <conditionalFormatting sqref="E33">
    <cfRule type="cellIs" dxfId="23" priority="13" operator="notBetween">
      <formula>IF(+$D$43&lt;300, -10.5%, -7.5%)</formula>
      <formula>IF(+$D$43&lt;300, 10.5%, 7.5%)</formula>
    </cfRule>
  </conditionalFormatting>
  <conditionalFormatting sqref="E34">
    <cfRule type="cellIs" dxfId="22" priority="14" operator="notBetween">
      <formula>IF(+$D$43&lt;300, -10.5%, -7.5%)</formula>
      <formula>IF(+$D$43&lt;300, 10.5%, 7.5%)</formula>
    </cfRule>
  </conditionalFormatting>
  <conditionalFormatting sqref="E35">
    <cfRule type="cellIs" dxfId="21" priority="15" operator="notBetween">
      <formula>IF(+$D$43&lt;300, -10.5%, -7.5%)</formula>
      <formula>IF(+$D$43&lt;300, 10.5%, 7.5%)</formula>
    </cfRule>
  </conditionalFormatting>
  <conditionalFormatting sqref="E36">
    <cfRule type="cellIs" dxfId="20" priority="16" operator="notBetween">
      <formula>IF(+$D$43&lt;300, -10.5%, -7.5%)</formula>
      <formula>IF(+$D$43&lt;300, 10.5%, 7.5%)</formula>
    </cfRule>
  </conditionalFormatting>
  <conditionalFormatting sqref="E37">
    <cfRule type="cellIs" dxfId="19" priority="17" operator="notBetween">
      <formula>IF(+$D$43&lt;300, -10.5%, -7.5%)</formula>
      <formula>IF(+$D$43&lt;300, 10.5%, 7.5%)</formula>
    </cfRule>
  </conditionalFormatting>
  <conditionalFormatting sqref="E38">
    <cfRule type="cellIs" dxfId="18" priority="18" operator="notBetween">
      <formula>IF(+$D$43&lt;300, -10.5%, -7.5%)</formula>
      <formula>IF(+$D$43&lt;300, 10.5%, 7.5%)</formula>
    </cfRule>
  </conditionalFormatting>
  <conditionalFormatting sqref="E39">
    <cfRule type="cellIs" dxfId="17" priority="19" operator="notBetween">
      <formula>IF(+$D$43&lt;300, -10.5%, -7.5%)</formula>
      <formula>IF(+$D$43&lt;300, 10.5%, 7.5%)</formula>
    </cfRule>
  </conditionalFormatting>
  <conditionalFormatting sqref="E40">
    <cfRule type="cellIs" dxfId="16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zoomScale="60" zoomScaleNormal="78" workbookViewId="0">
      <selection sqref="A1:J94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534" t="s">
        <v>49</v>
      </c>
      <c r="B1" s="534"/>
      <c r="C1" s="534"/>
      <c r="D1" s="534"/>
      <c r="E1" s="534"/>
      <c r="F1" s="534"/>
      <c r="G1" s="534"/>
      <c r="H1" s="534"/>
    </row>
    <row r="2" spans="1:8" x14ac:dyDescent="0.2">
      <c r="A2" s="534"/>
      <c r="B2" s="534"/>
      <c r="C2" s="534"/>
      <c r="D2" s="534"/>
      <c r="E2" s="534"/>
      <c r="F2" s="534"/>
      <c r="G2" s="534"/>
      <c r="H2" s="534"/>
    </row>
    <row r="3" spans="1:8" x14ac:dyDescent="0.2">
      <c r="A3" s="534"/>
      <c r="B3" s="534"/>
      <c r="C3" s="534"/>
      <c r="D3" s="534"/>
      <c r="E3" s="534"/>
      <c r="F3" s="534"/>
      <c r="G3" s="534"/>
      <c r="H3" s="534"/>
    </row>
    <row r="4" spans="1:8" x14ac:dyDescent="0.2">
      <c r="A4" s="534"/>
      <c r="B4" s="534"/>
      <c r="C4" s="534"/>
      <c r="D4" s="534"/>
      <c r="E4" s="534"/>
      <c r="F4" s="534"/>
      <c r="G4" s="534"/>
      <c r="H4" s="534"/>
    </row>
    <row r="5" spans="1:8" x14ac:dyDescent="0.2">
      <c r="A5" s="534"/>
      <c r="B5" s="534"/>
      <c r="C5" s="534"/>
      <c r="D5" s="534"/>
      <c r="E5" s="534"/>
      <c r="F5" s="534"/>
      <c r="G5" s="534"/>
      <c r="H5" s="534"/>
    </row>
    <row r="6" spans="1:8" x14ac:dyDescent="0.2">
      <c r="A6" s="534"/>
      <c r="B6" s="534"/>
      <c r="C6" s="534"/>
      <c r="D6" s="534"/>
      <c r="E6" s="534"/>
      <c r="F6" s="534"/>
      <c r="G6" s="534"/>
      <c r="H6" s="534"/>
    </row>
    <row r="7" spans="1:8" x14ac:dyDescent="0.2">
      <c r="A7" s="534"/>
      <c r="B7" s="534"/>
      <c r="C7" s="534"/>
      <c r="D7" s="534"/>
      <c r="E7" s="534"/>
      <c r="F7" s="534"/>
      <c r="G7" s="534"/>
      <c r="H7" s="534"/>
    </row>
    <row r="8" spans="1:8" x14ac:dyDescent="0.2">
      <c r="A8" s="535" t="s">
        <v>50</v>
      </c>
      <c r="B8" s="535"/>
      <c r="C8" s="535"/>
      <c r="D8" s="535"/>
      <c r="E8" s="535"/>
      <c r="F8" s="535"/>
      <c r="G8" s="535"/>
      <c r="H8" s="535"/>
    </row>
    <row r="9" spans="1:8" x14ac:dyDescent="0.2">
      <c r="A9" s="535"/>
      <c r="B9" s="535"/>
      <c r="C9" s="535"/>
      <c r="D9" s="535"/>
      <c r="E9" s="535"/>
      <c r="F9" s="535"/>
      <c r="G9" s="535"/>
      <c r="H9" s="535"/>
    </row>
    <row r="10" spans="1:8" x14ac:dyDescent="0.2">
      <c r="A10" s="535"/>
      <c r="B10" s="535"/>
      <c r="C10" s="535"/>
      <c r="D10" s="535"/>
      <c r="E10" s="535"/>
      <c r="F10" s="535"/>
      <c r="G10" s="535"/>
      <c r="H10" s="535"/>
    </row>
    <row r="11" spans="1:8" x14ac:dyDescent="0.2">
      <c r="A11" s="535"/>
      <c r="B11" s="535"/>
      <c r="C11" s="535"/>
      <c r="D11" s="535"/>
      <c r="E11" s="535"/>
      <c r="F11" s="535"/>
      <c r="G11" s="535"/>
      <c r="H11" s="535"/>
    </row>
    <row r="12" spans="1:8" x14ac:dyDescent="0.2">
      <c r="A12" s="535"/>
      <c r="B12" s="535"/>
      <c r="C12" s="535"/>
      <c r="D12" s="535"/>
      <c r="E12" s="535"/>
      <c r="F12" s="535"/>
      <c r="G12" s="535"/>
      <c r="H12" s="535"/>
    </row>
    <row r="13" spans="1:8" x14ac:dyDescent="0.2">
      <c r="A13" s="535"/>
      <c r="B13" s="535"/>
      <c r="C13" s="535"/>
      <c r="D13" s="535"/>
      <c r="E13" s="535"/>
      <c r="F13" s="535"/>
      <c r="G13" s="535"/>
      <c r="H13" s="535"/>
    </row>
    <row r="14" spans="1:8" x14ac:dyDescent="0.2">
      <c r="A14" s="535"/>
      <c r="B14" s="535"/>
      <c r="C14" s="535"/>
      <c r="D14" s="535"/>
      <c r="E14" s="535"/>
      <c r="F14" s="535"/>
      <c r="G14" s="535"/>
      <c r="H14" s="535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542" t="s">
        <v>31</v>
      </c>
      <c r="B16" s="543"/>
      <c r="C16" s="543"/>
      <c r="D16" s="543"/>
      <c r="E16" s="543"/>
      <c r="F16" s="543"/>
      <c r="G16" s="543"/>
      <c r="H16" s="544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545" t="s">
        <v>5</v>
      </c>
      <c r="C18" s="545"/>
      <c r="D18" s="545"/>
      <c r="E18" s="545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546" t="s">
        <v>11</v>
      </c>
      <c r="C21" s="546"/>
      <c r="D21" s="546"/>
      <c r="E21" s="546"/>
      <c r="F21" s="546"/>
      <c r="G21" s="546"/>
      <c r="H21" s="546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545" t="s">
        <v>143</v>
      </c>
      <c r="C26" s="545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546" t="s">
        <v>144</v>
      </c>
      <c r="C27" s="546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99.8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547" t="s">
        <v>54</v>
      </c>
      <c r="D29" s="548"/>
      <c r="E29" s="548"/>
      <c r="F29" s="548"/>
      <c r="G29" s="548"/>
      <c r="H29" s="549"/>
    </row>
    <row r="30" spans="1:8" ht="19.5" customHeight="1" x14ac:dyDescent="0.3">
      <c r="A30" s="127" t="s">
        <v>55</v>
      </c>
      <c r="B30" s="130">
        <f>B28-B29</f>
        <v>99.8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550" t="s">
        <v>57</v>
      </c>
      <c r="D31" s="551"/>
      <c r="E31" s="551"/>
      <c r="F31" s="551"/>
      <c r="G31" s="551"/>
      <c r="H31" s="552"/>
    </row>
    <row r="32" spans="1:8" ht="27" customHeight="1" x14ac:dyDescent="0.4">
      <c r="A32" s="127" t="s">
        <v>58</v>
      </c>
      <c r="B32" s="133">
        <v>1</v>
      </c>
      <c r="C32" s="550" t="s">
        <v>59</v>
      </c>
      <c r="D32" s="551"/>
      <c r="E32" s="551"/>
      <c r="F32" s="551"/>
      <c r="G32" s="551"/>
      <c r="H32" s="552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</v>
      </c>
      <c r="C36" s="119"/>
      <c r="D36" s="553" t="s">
        <v>63</v>
      </c>
      <c r="E36" s="554"/>
      <c r="F36" s="553" t="s">
        <v>64</v>
      </c>
      <c r="G36" s="555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v>22529370</v>
      </c>
      <c r="E38" s="148">
        <f>IF(ISBLANK(D38),"-",$D$48/$D$45*D38)</f>
        <v>21576601.231136106</v>
      </c>
      <c r="F38" s="147">
        <v>20869822</v>
      </c>
      <c r="G38" s="149">
        <f>IF(ISBLANK(F38),"-",$D$48/$F$45*F38)</f>
        <v>21343858.423660286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v>22441733</v>
      </c>
      <c r="E39" s="152">
        <f>IF(ISBLANK(D39),"-",$D$48/$D$45*D39)</f>
        <v>21492670.406523921</v>
      </c>
      <c r="F39" s="151">
        <v>20765950</v>
      </c>
      <c r="G39" s="153">
        <f>IF(ISBLANK(F39),"-",$D$48/$F$45*F39)</f>
        <v>21237627.078602217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v>21959613</v>
      </c>
      <c r="E40" s="152">
        <f>IF(ISBLANK(D40),"-",$D$48/$D$45*D40)</f>
        <v>21030939.297950741</v>
      </c>
      <c r="F40" s="151">
        <v>20874255</v>
      </c>
      <c r="G40" s="153">
        <f>IF(ISBLANK(F40),"-",$D$48/$F$45*F40)</f>
        <v>21348392.114670783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22310238.666666668</v>
      </c>
      <c r="E42" s="160">
        <f>AVERAGE(E38:E41)</f>
        <v>21366736.978536922</v>
      </c>
      <c r="F42" s="159">
        <f>AVERAGE(F38:F41)</f>
        <v>20836675.666666668</v>
      </c>
      <c r="G42" s="161">
        <f>AVERAGE(G38:G41)</f>
        <v>21309959.205644429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41.85</v>
      </c>
      <c r="E43" s="165"/>
      <c r="F43" s="164">
        <v>39.19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41.85</v>
      </c>
      <c r="E44" s="168"/>
      <c r="F44" s="167">
        <f>F43*$B$34</f>
        <v>39.19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10</v>
      </c>
      <c r="C45" s="166" t="s">
        <v>80</v>
      </c>
      <c r="D45" s="170">
        <f>D44*$B$30/100</f>
        <v>41.766300000000001</v>
      </c>
      <c r="E45" s="171"/>
      <c r="F45" s="170">
        <f>F44*$B$30/100</f>
        <v>39.111619999999995</v>
      </c>
      <c r="G45" s="119"/>
      <c r="H45" s="162"/>
    </row>
    <row r="46" spans="1:8" ht="19.5" customHeight="1" x14ac:dyDescent="0.3">
      <c r="A46" s="556" t="s">
        <v>81</v>
      </c>
      <c r="B46" s="557"/>
      <c r="C46" s="166" t="s">
        <v>82</v>
      </c>
      <c r="D46" s="167">
        <f>D45/$B$45</f>
        <v>4.1766300000000003</v>
      </c>
      <c r="E46" s="171"/>
      <c r="F46" s="172">
        <f>F45/$B$45</f>
        <v>3.9111619999999996</v>
      </c>
      <c r="G46" s="119"/>
      <c r="H46" s="162"/>
    </row>
    <row r="47" spans="1:8" ht="27" customHeight="1" x14ac:dyDescent="0.4">
      <c r="A47" s="558"/>
      <c r="B47" s="559"/>
      <c r="C47" s="173" t="s">
        <v>83</v>
      </c>
      <c r="D47" s="174">
        <v>4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40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40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21338348.092090677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9.0231382013797531E-3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contains:  Artesunate 60 mg. The combi pack contains 1 mL ampoule of Sodium Bicarbonate Injection  BP 5% w/v and 5 mL ampoule of Sodium Chloride Injection BP  0.9 % w/v.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60</v>
      </c>
      <c r="C56" s="119" t="str">
        <f>B20</f>
        <v xml:space="preserve">ARTESUNATE 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6">
        <f>Uniformity!D43</f>
        <v>63.162000000000262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92</v>
      </c>
      <c r="B59" s="139">
        <v>50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536" t="s">
        <v>97</v>
      </c>
      <c r="D60" s="539">
        <v>208.98</v>
      </c>
      <c r="E60" s="191">
        <v>1</v>
      </c>
      <c r="F60" s="192">
        <v>21413092</v>
      </c>
      <c r="G60" s="193">
        <f>IF(ISBLANK(F60),"-",(F60/$D$50*$D$47*$B$68)*($B$57/$D$60))</f>
        <v>60.659626454730109</v>
      </c>
      <c r="H60" s="194">
        <f t="shared" ref="H60:H71" si="0">IF(ISBLANK(F60),"-",G60/$B$56)</f>
        <v>1.0109937742455017</v>
      </c>
    </row>
    <row r="61" spans="1:8" ht="26.25" customHeight="1" x14ac:dyDescent="0.4">
      <c r="A61" s="140" t="s">
        <v>98</v>
      </c>
      <c r="B61" s="141">
        <v>1</v>
      </c>
      <c r="C61" s="537"/>
      <c r="D61" s="540"/>
      <c r="E61" s="195">
        <v>2</v>
      </c>
      <c r="F61" s="151">
        <v>21488168</v>
      </c>
      <c r="G61" s="196">
        <f>IF(ISBLANK(F61),"-",(F61/$D$50*$D$47*$B$68)*($B$57/$D$60))</f>
        <v>60.872303919325844</v>
      </c>
      <c r="H61" s="197">
        <f t="shared" si="0"/>
        <v>1.0145383986554308</v>
      </c>
    </row>
    <row r="62" spans="1:8" ht="26.25" customHeight="1" x14ac:dyDescent="0.4">
      <c r="A62" s="140" t="s">
        <v>99</v>
      </c>
      <c r="B62" s="141">
        <v>1</v>
      </c>
      <c r="C62" s="537"/>
      <c r="D62" s="540"/>
      <c r="E62" s="195">
        <v>3</v>
      </c>
      <c r="F62" s="151">
        <v>21500735</v>
      </c>
      <c r="G62" s="196">
        <f>IF(ISBLANK(F62),"-",(F62/$D$50*$D$47*$B$68)*($B$57/$D$60))</f>
        <v>60.90790408046356</v>
      </c>
      <c r="H62" s="197">
        <f t="shared" si="0"/>
        <v>1.0151317346743927</v>
      </c>
    </row>
    <row r="63" spans="1:8" ht="27" customHeight="1" x14ac:dyDescent="0.4">
      <c r="A63" s="140" t="s">
        <v>100</v>
      </c>
      <c r="B63" s="141">
        <v>1</v>
      </c>
      <c r="C63" s="538"/>
      <c r="D63" s="541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536" t="s">
        <v>102</v>
      </c>
      <c r="D64" s="539">
        <v>208.41</v>
      </c>
      <c r="E64" s="191">
        <v>1</v>
      </c>
      <c r="F64" s="192">
        <v>20933846</v>
      </c>
      <c r="G64" s="200">
        <f>IF(ISBLANK(F64),"-",(F64/$D$50*$D$47*$B$68)*($B$57/$D$64))</f>
        <v>59.464195120552532</v>
      </c>
      <c r="H64" s="201">
        <f t="shared" si="0"/>
        <v>0.99106991867587557</v>
      </c>
    </row>
    <row r="65" spans="1:8" ht="26.25" customHeight="1" x14ac:dyDescent="0.4">
      <c r="A65" s="140" t="s">
        <v>103</v>
      </c>
      <c r="B65" s="141">
        <v>1</v>
      </c>
      <c r="C65" s="537"/>
      <c r="D65" s="540"/>
      <c r="E65" s="195">
        <v>2</v>
      </c>
      <c r="F65" s="151">
        <v>21275628</v>
      </c>
      <c r="G65" s="202">
        <f>IF(ISBLANK(F65),"-",(F65/$D$50*$D$47*$B$68)*($B$57/$D$64))</f>
        <v>60.435053105114605</v>
      </c>
      <c r="H65" s="203">
        <f t="shared" si="0"/>
        <v>1.0072508850852435</v>
      </c>
    </row>
    <row r="66" spans="1:8" ht="26.25" customHeight="1" x14ac:dyDescent="0.4">
      <c r="A66" s="140" t="s">
        <v>104</v>
      </c>
      <c r="B66" s="141">
        <v>1</v>
      </c>
      <c r="C66" s="537"/>
      <c r="D66" s="540"/>
      <c r="E66" s="195">
        <v>3</v>
      </c>
      <c r="F66" s="151">
        <v>21154451</v>
      </c>
      <c r="G66" s="202">
        <f>IF(ISBLANK(F66),"-",(F66/$D$50*$D$47*$B$68)*($B$57/$D$64))</f>
        <v>60.090840542734846</v>
      </c>
      <c r="H66" s="203">
        <f t="shared" si="0"/>
        <v>1.0015140090455807</v>
      </c>
    </row>
    <row r="67" spans="1:8" ht="27" customHeight="1" x14ac:dyDescent="0.4">
      <c r="A67" s="140" t="s">
        <v>105</v>
      </c>
      <c r="B67" s="141">
        <v>1</v>
      </c>
      <c r="C67" s="538"/>
      <c r="D67" s="541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50</v>
      </c>
      <c r="C68" s="536" t="s">
        <v>107</v>
      </c>
      <c r="D68" s="539">
        <v>214.5</v>
      </c>
      <c r="E68" s="191">
        <v>1</v>
      </c>
      <c r="F68" s="192">
        <v>21486000</v>
      </c>
      <c r="G68" s="200">
        <f>IF(ISBLANK(F68),"-",(F68/$D$50*$D$47*$B$68)*($B$57/$D$68))</f>
        <v>59.299816350167696</v>
      </c>
      <c r="H68" s="197">
        <f t="shared" si="0"/>
        <v>0.98833027250279493</v>
      </c>
    </row>
    <row r="69" spans="1:8" ht="27" customHeight="1" x14ac:dyDescent="0.4">
      <c r="A69" s="182" t="s">
        <v>108</v>
      </c>
      <c r="B69" s="207">
        <f>(D47*B68)/B56*B57</f>
        <v>210.54000000000087</v>
      </c>
      <c r="C69" s="537"/>
      <c r="D69" s="540"/>
      <c r="E69" s="195">
        <v>2</v>
      </c>
      <c r="F69" s="151">
        <v>21621961</v>
      </c>
      <c r="G69" s="202">
        <f>IF(ISBLANK(F69),"-",(F69/$D$50*$D$47*$B$68)*($B$57/$D$68))</f>
        <v>59.675058942124551</v>
      </c>
      <c r="H69" s="197">
        <f t="shared" si="0"/>
        <v>0.99458431570207584</v>
      </c>
    </row>
    <row r="70" spans="1:8" ht="26.25" customHeight="1" x14ac:dyDescent="0.4">
      <c r="A70" s="556" t="s">
        <v>81</v>
      </c>
      <c r="B70" s="557"/>
      <c r="C70" s="537"/>
      <c r="D70" s="540"/>
      <c r="E70" s="195">
        <v>3</v>
      </c>
      <c r="F70" s="151">
        <v>21589339</v>
      </c>
      <c r="G70" s="202">
        <f>IF(ISBLANK(F70),"-",(F70/$D$50*$D$47*$B$68)*($B$57/$D$68))</f>
        <v>59.585024565834161</v>
      </c>
      <c r="H70" s="197">
        <f t="shared" si="0"/>
        <v>0.99308374276390265</v>
      </c>
    </row>
    <row r="71" spans="1:8" ht="27" customHeight="1" x14ac:dyDescent="0.4">
      <c r="A71" s="558"/>
      <c r="B71" s="559"/>
      <c r="C71" s="561"/>
      <c r="D71" s="541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1.0018330057056444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1.0462466988923735E-2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562" t="str">
        <f>B20</f>
        <v xml:space="preserve">ARTESUNATE </v>
      </c>
      <c r="D76" s="562"/>
      <c r="E76" s="222" t="s">
        <v>111</v>
      </c>
      <c r="F76" s="222"/>
      <c r="G76" s="223">
        <f>H72</f>
        <v>1.0018330057056444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560" t="s">
        <v>26</v>
      </c>
      <c r="C78" s="560"/>
      <c r="D78" s="119"/>
      <c r="E78" s="226" t="s">
        <v>27</v>
      </c>
      <c r="F78" s="227"/>
      <c r="G78" s="560" t="s">
        <v>28</v>
      </c>
      <c r="H78" s="560"/>
    </row>
    <row r="79" spans="1:8" ht="60" customHeight="1" x14ac:dyDescent="0.3">
      <c r="A79" s="228" t="s">
        <v>29</v>
      </c>
      <c r="B79" s="229"/>
      <c r="C79" s="229"/>
      <c r="D79" s="119"/>
      <c r="E79" s="230"/>
      <c r="F79" s="231"/>
      <c r="G79" s="232"/>
      <c r="H79" s="232"/>
    </row>
    <row r="80" spans="1:8" ht="60" customHeight="1" x14ac:dyDescent="0.3">
      <c r="A80" s="228" t="s">
        <v>30</v>
      </c>
      <c r="B80" s="233"/>
      <c r="C80" s="233"/>
      <c r="D80" s="119"/>
      <c r="E80" s="234"/>
      <c r="F80" s="231"/>
      <c r="G80" s="235"/>
      <c r="H80" s="235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5" priority="1" operator="greaterThan">
      <formula>0.02</formula>
    </cfRule>
  </conditionalFormatting>
  <conditionalFormatting sqref="H73">
    <cfRule type="cellIs" dxfId="14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75" zoomScalePageLayoutView="55" workbookViewId="0">
      <selection sqref="A1:I68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534" t="s">
        <v>112</v>
      </c>
      <c r="B1" s="534"/>
      <c r="C1" s="534"/>
      <c r="D1" s="534"/>
      <c r="E1" s="534"/>
      <c r="F1" s="534"/>
      <c r="G1" s="534"/>
      <c r="H1" s="534"/>
      <c r="I1" s="534"/>
    </row>
    <row r="2" spans="1:9" ht="15" x14ac:dyDescent="0.3">
      <c r="A2" s="534"/>
      <c r="B2" s="534"/>
      <c r="C2" s="534"/>
      <c r="D2" s="534"/>
      <c r="E2" s="534"/>
      <c r="F2" s="534"/>
      <c r="G2" s="534"/>
      <c r="H2" s="534"/>
      <c r="I2" s="534"/>
    </row>
    <row r="3" spans="1:9" ht="15" x14ac:dyDescent="0.3">
      <c r="A3" s="534"/>
      <c r="B3" s="534"/>
      <c r="C3" s="534"/>
      <c r="D3" s="534"/>
      <c r="E3" s="534"/>
      <c r="F3" s="534"/>
      <c r="G3" s="534"/>
      <c r="H3" s="534"/>
      <c r="I3" s="534"/>
    </row>
    <row r="4" spans="1:9" ht="15" x14ac:dyDescent="0.3">
      <c r="A4" s="534"/>
      <c r="B4" s="534"/>
      <c r="C4" s="534"/>
      <c r="D4" s="534"/>
      <c r="E4" s="534"/>
      <c r="F4" s="534"/>
      <c r="G4" s="534"/>
      <c r="H4" s="534"/>
      <c r="I4" s="534"/>
    </row>
    <row r="5" spans="1:9" ht="15" x14ac:dyDescent="0.3">
      <c r="A5" s="534"/>
      <c r="B5" s="534"/>
      <c r="C5" s="534"/>
      <c r="D5" s="534"/>
      <c r="E5" s="534"/>
      <c r="F5" s="534"/>
      <c r="G5" s="534"/>
      <c r="H5" s="534"/>
      <c r="I5" s="534"/>
    </row>
    <row r="6" spans="1:9" ht="15" x14ac:dyDescent="0.3">
      <c r="A6" s="534"/>
      <c r="B6" s="534"/>
      <c r="C6" s="534"/>
      <c r="D6" s="534"/>
      <c r="E6" s="534"/>
      <c r="F6" s="534"/>
      <c r="G6" s="534"/>
      <c r="H6" s="534"/>
      <c r="I6" s="534"/>
    </row>
    <row r="7" spans="1:9" ht="15" x14ac:dyDescent="0.3">
      <c r="A7" s="534"/>
      <c r="B7" s="534"/>
      <c r="C7" s="534"/>
      <c r="D7" s="534"/>
      <c r="E7" s="534"/>
      <c r="F7" s="534"/>
      <c r="G7" s="534"/>
      <c r="H7" s="534"/>
      <c r="I7" s="534"/>
    </row>
    <row r="8" spans="1:9" ht="15" x14ac:dyDescent="0.3">
      <c r="A8" s="535" t="s">
        <v>50</v>
      </c>
      <c r="B8" s="535"/>
      <c r="C8" s="535"/>
      <c r="D8" s="535"/>
      <c r="E8" s="535"/>
      <c r="F8" s="535"/>
      <c r="G8" s="535"/>
      <c r="H8" s="535"/>
      <c r="I8" s="535"/>
    </row>
    <row r="9" spans="1:9" ht="15" x14ac:dyDescent="0.3">
      <c r="A9" s="535"/>
      <c r="B9" s="535"/>
      <c r="C9" s="535"/>
      <c r="D9" s="535"/>
      <c r="E9" s="535"/>
      <c r="F9" s="535"/>
      <c r="G9" s="535"/>
      <c r="H9" s="535"/>
      <c r="I9" s="535"/>
    </row>
    <row r="10" spans="1:9" ht="15" x14ac:dyDescent="0.3">
      <c r="A10" s="535"/>
      <c r="B10" s="535"/>
      <c r="C10" s="535"/>
      <c r="D10" s="535"/>
      <c r="E10" s="535"/>
      <c r="F10" s="535"/>
      <c r="G10" s="535"/>
      <c r="H10" s="535"/>
      <c r="I10" s="535"/>
    </row>
    <row r="11" spans="1:9" ht="15" x14ac:dyDescent="0.3">
      <c r="A11" s="535"/>
      <c r="B11" s="535"/>
      <c r="C11" s="535"/>
      <c r="D11" s="535"/>
      <c r="E11" s="535"/>
      <c r="F11" s="535"/>
      <c r="G11" s="535"/>
      <c r="H11" s="535"/>
      <c r="I11" s="535"/>
    </row>
    <row r="12" spans="1:9" ht="15" x14ac:dyDescent="0.3">
      <c r="A12" s="535"/>
      <c r="B12" s="535"/>
      <c r="C12" s="535"/>
      <c r="D12" s="535"/>
      <c r="E12" s="535"/>
      <c r="F12" s="535"/>
      <c r="G12" s="535"/>
      <c r="H12" s="535"/>
      <c r="I12" s="535"/>
    </row>
    <row r="13" spans="1:9" ht="15" x14ac:dyDescent="0.3">
      <c r="A13" s="535"/>
      <c r="B13" s="535"/>
      <c r="C13" s="535"/>
      <c r="D13" s="535"/>
      <c r="E13" s="535"/>
      <c r="F13" s="535"/>
      <c r="G13" s="535"/>
      <c r="H13" s="535"/>
      <c r="I13" s="535"/>
    </row>
    <row r="14" spans="1:9" ht="15" x14ac:dyDescent="0.3">
      <c r="A14" s="535"/>
      <c r="B14" s="535"/>
      <c r="C14" s="535"/>
      <c r="D14" s="535"/>
      <c r="E14" s="535"/>
      <c r="F14" s="535"/>
      <c r="G14" s="535"/>
      <c r="H14" s="535"/>
      <c r="I14" s="535"/>
    </row>
    <row r="15" spans="1:9" ht="19.5" customHeight="1" x14ac:dyDescent="0.3"/>
    <row r="16" spans="1:9" ht="19.5" customHeight="1" x14ac:dyDescent="0.3">
      <c r="A16" s="565" t="s">
        <v>31</v>
      </c>
      <c r="B16" s="566"/>
      <c r="C16" s="566"/>
      <c r="D16" s="566"/>
      <c r="E16" s="566"/>
      <c r="F16" s="566"/>
      <c r="G16" s="566"/>
      <c r="H16" s="567"/>
    </row>
    <row r="17" spans="1:14" ht="18.75" x14ac:dyDescent="0.3">
      <c r="A17" s="568" t="s">
        <v>51</v>
      </c>
      <c r="B17" s="568"/>
      <c r="C17" s="568"/>
      <c r="D17" s="568"/>
      <c r="E17" s="568"/>
      <c r="F17" s="568"/>
      <c r="G17" s="568"/>
      <c r="H17" s="568"/>
    </row>
    <row r="18" spans="1:14" ht="18.75" x14ac:dyDescent="0.3">
      <c r="A18" s="244" t="s">
        <v>33</v>
      </c>
      <c r="B18" s="274" t="s">
        <v>5</v>
      </c>
      <c r="C18" s="274"/>
      <c r="D18" s="274"/>
      <c r="E18" s="274"/>
    </row>
    <row r="19" spans="1:14" ht="18.75" x14ac:dyDescent="0.3">
      <c r="A19" s="244" t="s">
        <v>34</v>
      </c>
      <c r="B19" s="275" t="s">
        <v>7</v>
      </c>
      <c r="C19" s="364">
        <v>22</v>
      </c>
    </row>
    <row r="20" spans="1:14" ht="18.75" x14ac:dyDescent="0.3">
      <c r="A20" s="244" t="s">
        <v>35</v>
      </c>
      <c r="B20" s="275" t="s">
        <v>147</v>
      </c>
    </row>
    <row r="21" spans="1:14" ht="18.75" x14ac:dyDescent="0.3">
      <c r="A21" s="244" t="s">
        <v>36</v>
      </c>
      <c r="B21" s="245" t="s">
        <v>11</v>
      </c>
      <c r="C21" s="245"/>
      <c r="D21" s="245"/>
      <c r="E21" s="245"/>
      <c r="F21" s="245"/>
      <c r="G21" s="245"/>
      <c r="H21" s="245"/>
      <c r="I21" s="241"/>
    </row>
    <row r="22" spans="1:14" ht="18.75" x14ac:dyDescent="0.3">
      <c r="A22" s="244" t="s">
        <v>37</v>
      </c>
      <c r="B22" s="276" t="s">
        <v>12</v>
      </c>
    </row>
    <row r="23" spans="1:14" ht="18.75" x14ac:dyDescent="0.3">
      <c r="A23" s="244" t="s">
        <v>38</v>
      </c>
      <c r="B23" s="276">
        <v>42251</v>
      </c>
    </row>
    <row r="24" spans="1:14" ht="18.75" x14ac:dyDescent="0.3">
      <c r="A24" s="244"/>
      <c r="B24" s="246"/>
    </row>
    <row r="25" spans="1:14" ht="18.75" x14ac:dyDescent="0.3">
      <c r="A25" s="247" t="s">
        <v>1</v>
      </c>
      <c r="B25" s="253" t="s">
        <v>113</v>
      </c>
    </row>
    <row r="26" spans="1:14" s="37" customFormat="1" ht="18.75" x14ac:dyDescent="0.3">
      <c r="A26" s="248"/>
      <c r="B26" s="249"/>
      <c r="C26" s="271"/>
      <c r="D26" s="271"/>
      <c r="E26" s="271"/>
      <c r="F26" s="271"/>
      <c r="G26" s="243"/>
      <c r="H26" s="271"/>
      <c r="I26" s="272"/>
      <c r="J26" s="272"/>
      <c r="K26" s="272"/>
      <c r="L26" s="238"/>
      <c r="M26" s="238"/>
      <c r="N26" s="273"/>
    </row>
    <row r="27" spans="1:14" s="37" customFormat="1" ht="26.25" customHeight="1" x14ac:dyDescent="0.4">
      <c r="A27" s="283" t="s">
        <v>4</v>
      </c>
      <c r="B27" s="308" t="s">
        <v>146</v>
      </c>
      <c r="C27" s="306"/>
      <c r="D27" s="291"/>
      <c r="E27" s="284"/>
      <c r="F27" s="284"/>
      <c r="G27" s="284"/>
      <c r="H27" s="271"/>
      <c r="I27" s="272"/>
      <c r="J27" s="272"/>
      <c r="K27" s="272"/>
      <c r="L27" s="238"/>
      <c r="M27" s="238"/>
      <c r="N27" s="273"/>
    </row>
    <row r="28" spans="1:14" s="37" customFormat="1" ht="26.25" customHeight="1" x14ac:dyDescent="0.4">
      <c r="A28" s="250" t="s">
        <v>114</v>
      </c>
      <c r="B28" s="306">
        <v>105.99</v>
      </c>
      <c r="C28" s="307"/>
      <c r="D28" s="282"/>
      <c r="E28" s="282"/>
      <c r="F28" s="282"/>
      <c r="G28" s="282"/>
      <c r="H28" s="280"/>
      <c r="I28" s="272"/>
      <c r="J28" s="272"/>
      <c r="K28" s="272"/>
      <c r="L28" s="238"/>
      <c r="M28" s="238"/>
      <c r="N28" s="273"/>
    </row>
    <row r="29" spans="1:14" s="37" customFormat="1" ht="26.25" customHeight="1" x14ac:dyDescent="0.4">
      <c r="A29" s="332" t="s">
        <v>115</v>
      </c>
      <c r="B29" s="333">
        <v>0.5</v>
      </c>
      <c r="C29" s="307"/>
      <c r="D29" s="282"/>
      <c r="E29" s="282"/>
      <c r="F29" s="282"/>
      <c r="G29" s="282"/>
      <c r="H29" s="280"/>
      <c r="I29" s="272"/>
      <c r="J29" s="272"/>
      <c r="K29" s="272"/>
      <c r="L29" s="238"/>
      <c r="M29" s="238"/>
      <c r="N29" s="273"/>
    </row>
    <row r="30" spans="1:14" s="37" customFormat="1" ht="18.75" x14ac:dyDescent="0.3">
      <c r="A30" s="297" t="s">
        <v>116</v>
      </c>
      <c r="B30" s="292">
        <v>2</v>
      </c>
      <c r="C30" s="293" t="s">
        <v>117</v>
      </c>
      <c r="D30" s="292">
        <v>1</v>
      </c>
      <c r="F30" s="271"/>
      <c r="G30" s="243"/>
      <c r="H30" s="271"/>
      <c r="I30" s="272"/>
      <c r="J30" s="272"/>
      <c r="K30" s="272"/>
      <c r="L30" s="238"/>
      <c r="M30" s="238"/>
      <c r="N30" s="273"/>
    </row>
    <row r="31" spans="1:14" s="37" customFormat="1" ht="18.75" x14ac:dyDescent="0.3">
      <c r="A31" s="248"/>
      <c r="B31" s="249"/>
      <c r="C31" s="271"/>
      <c r="D31" s="271"/>
      <c r="E31" s="271"/>
      <c r="F31" s="271"/>
      <c r="G31" s="243"/>
      <c r="H31" s="271"/>
      <c r="I31" s="272"/>
      <c r="J31" s="272"/>
      <c r="K31" s="272"/>
      <c r="L31" s="238"/>
      <c r="M31" s="238"/>
      <c r="N31" s="273"/>
    </row>
    <row r="32" spans="1:14" s="37" customFormat="1" ht="19.5" customHeight="1" x14ac:dyDescent="0.3">
      <c r="A32" s="248"/>
      <c r="B32" s="249"/>
      <c r="C32" s="271"/>
      <c r="D32" s="271"/>
      <c r="E32" s="271"/>
      <c r="F32" s="271"/>
      <c r="G32" s="243"/>
      <c r="H32" s="271"/>
      <c r="I32" s="272"/>
      <c r="J32" s="272"/>
      <c r="K32" s="272"/>
      <c r="L32" s="238"/>
      <c r="M32" s="238"/>
      <c r="N32" s="273"/>
    </row>
    <row r="33" spans="1:14" s="37" customFormat="1" ht="19.5" customHeight="1" x14ac:dyDescent="0.3">
      <c r="A33" s="257" t="s">
        <v>118</v>
      </c>
      <c r="B33" s="257" t="s">
        <v>119</v>
      </c>
      <c r="C33" s="301" t="s">
        <v>120</v>
      </c>
      <c r="D33" s="257" t="s">
        <v>121</v>
      </c>
      <c r="E33" s="305" t="s">
        <v>122</v>
      </c>
      <c r="F33" s="309" t="s">
        <v>123</v>
      </c>
      <c r="G33" s="257" t="s">
        <v>124</v>
      </c>
      <c r="J33" s="272"/>
      <c r="K33" s="272"/>
      <c r="L33" s="238"/>
      <c r="M33" s="238"/>
      <c r="N33" s="273"/>
    </row>
    <row r="34" spans="1:14" s="37" customFormat="1" ht="26.25" customHeight="1" x14ac:dyDescent="0.4">
      <c r="A34" s="294" t="s">
        <v>125</v>
      </c>
      <c r="B34" s="298">
        <v>249.54</v>
      </c>
      <c r="C34" s="302">
        <f>IF(ISBLANK(B34), "-",B34/$B$28*($B$30/$D$30))</f>
        <v>4.7087461081234077</v>
      </c>
      <c r="D34" s="366">
        <v>9.1</v>
      </c>
      <c r="E34" s="334">
        <f>IF(ISBLANK(B34), "-",C34/D34)</f>
        <v>0.51744462726630858</v>
      </c>
      <c r="F34" s="343">
        <f>IF(ISBLANK(B34), "-",(E34-$B$29)/$B$29)</f>
        <v>3.4889254532617153E-2</v>
      </c>
      <c r="G34" s="337">
        <f>IF(ISBLANK(B34),"-",E34/$B$29)</f>
        <v>1.0348892545326172</v>
      </c>
      <c r="J34" s="272"/>
      <c r="K34" s="272"/>
      <c r="L34" s="238"/>
      <c r="M34" s="238"/>
      <c r="N34" s="273"/>
    </row>
    <row r="35" spans="1:14" s="37" customFormat="1" ht="26.25" customHeight="1" x14ac:dyDescent="0.4">
      <c r="A35" s="295" t="s">
        <v>126</v>
      </c>
      <c r="B35" s="299">
        <v>249.59</v>
      </c>
      <c r="C35" s="303">
        <f>IF(ISBLANK(B35), "-",B35/$B$28*($B$30/$D$30))</f>
        <v>4.7096895933578642</v>
      </c>
      <c r="D35" s="367">
        <v>9.1</v>
      </c>
      <c r="E35" s="335">
        <f>IF(ISBLANK(B35), "-",C35/D35)</f>
        <v>0.51754830696240273</v>
      </c>
      <c r="F35" s="344">
        <f>IF(ISBLANK(B35), "-",(E35-$B$29)/$B$29)</f>
        <v>3.5096613924805453E-2</v>
      </c>
      <c r="G35" s="338">
        <f>IF(ISBLANK(B35),"-",E35/$B$29)</f>
        <v>1.0350966139248055</v>
      </c>
      <c r="J35" s="272"/>
      <c r="K35" s="272"/>
      <c r="L35" s="238"/>
      <c r="M35" s="238"/>
      <c r="N35" s="273"/>
    </row>
    <row r="36" spans="1:14" s="37" customFormat="1" ht="26.25" customHeight="1" x14ac:dyDescent="0.4">
      <c r="A36" s="295" t="s">
        <v>127</v>
      </c>
      <c r="B36" s="299">
        <v>249.86</v>
      </c>
      <c r="C36" s="303">
        <f>IF(ISBLANK(B36), "-",B36/$B$28*($B$30/$D$30))</f>
        <v>4.714784413623927</v>
      </c>
      <c r="D36" s="367">
        <v>9.1</v>
      </c>
      <c r="E36" s="335">
        <f>IF(ISBLANK(B36), "-",C36/D36)</f>
        <v>0.51810817732131065</v>
      </c>
      <c r="F36" s="344">
        <f>IF(ISBLANK(B36), "-",(E36-$B$29)/$B$29)</f>
        <v>3.6216354642621296E-2</v>
      </c>
      <c r="G36" s="338">
        <f>IF(ISBLANK(B36),"-",E36/$B$29)</f>
        <v>1.0362163546426213</v>
      </c>
      <c r="J36" s="272"/>
      <c r="K36" s="272"/>
      <c r="L36" s="238"/>
      <c r="M36" s="238"/>
      <c r="N36" s="273"/>
    </row>
    <row r="37" spans="1:14" s="37" customFormat="1" ht="27" customHeight="1" x14ac:dyDescent="0.4">
      <c r="A37" s="296" t="s">
        <v>128</v>
      </c>
      <c r="B37" s="300"/>
      <c r="C37" s="304" t="str">
        <f>IF(ISBLANK(B37), "-",B37/$B$28*($B$30/$D$30))</f>
        <v>-</v>
      </c>
      <c r="D37" s="368"/>
      <c r="E37" s="336" t="str">
        <f>IF(ISBLANK(B37), "-",C37/D37)</f>
        <v>-</v>
      </c>
      <c r="F37" s="345" t="str">
        <f>IF(ISBLANK(B37), "-",(E37-$B$29)/$B$29)</f>
        <v>-</v>
      </c>
      <c r="G37" s="339" t="str">
        <f>IF(ISBLANK(B37),"-",E37/$B$29)</f>
        <v>-</v>
      </c>
      <c r="J37" s="272"/>
      <c r="K37" s="272"/>
      <c r="L37" s="238"/>
      <c r="M37" s="238"/>
      <c r="N37" s="273"/>
    </row>
    <row r="38" spans="1:14" ht="19.5" customHeight="1" x14ac:dyDescent="0.3">
      <c r="A38" s="237"/>
      <c r="B38" s="237"/>
      <c r="C38" s="237"/>
      <c r="D38" s="322" t="s">
        <v>129</v>
      </c>
      <c r="E38" s="290">
        <f>AVERAGE(E34:E37)</f>
        <v>0.51770037051667395</v>
      </c>
      <c r="F38" s="362">
        <f>AVERAGE(F34:F37)</f>
        <v>3.540074103334797E-2</v>
      </c>
      <c r="G38" s="361">
        <f>AVERAGE(G34:G37)</f>
        <v>1.0354007410333479</v>
      </c>
      <c r="H38" s="237"/>
      <c r="L38" s="238"/>
      <c r="M38" s="238"/>
      <c r="N38" s="239"/>
    </row>
    <row r="39" spans="1:14" ht="18.75" x14ac:dyDescent="0.3">
      <c r="A39" s="237"/>
      <c r="B39" s="277"/>
      <c r="C39" s="279"/>
      <c r="D39" s="286" t="s">
        <v>87</v>
      </c>
      <c r="E39" s="287">
        <f>STDEV(E34:E37)/E38</f>
        <v>6.8950193373340746E-4</v>
      </c>
      <c r="F39" s="341"/>
      <c r="G39" s="237"/>
      <c r="H39" s="237"/>
    </row>
    <row r="40" spans="1:14" ht="19.5" customHeight="1" x14ac:dyDescent="0.3">
      <c r="A40" s="237"/>
      <c r="B40" s="277"/>
      <c r="C40" s="279"/>
      <c r="D40" s="288" t="s">
        <v>20</v>
      </c>
      <c r="E40" s="289">
        <f>COUNT(E34:E37)</f>
        <v>3</v>
      </c>
      <c r="F40" s="342"/>
      <c r="G40" s="237"/>
      <c r="H40" s="237"/>
    </row>
    <row r="41" spans="1:14" ht="18.75" x14ac:dyDescent="0.3">
      <c r="A41" s="281"/>
      <c r="B41" s="278"/>
      <c r="C41" s="277"/>
      <c r="D41" s="277"/>
      <c r="E41" s="277"/>
      <c r="F41" s="340"/>
      <c r="G41" s="237"/>
      <c r="H41" s="237"/>
    </row>
    <row r="43" spans="1:14" ht="18.75" x14ac:dyDescent="0.3">
      <c r="A43" s="252" t="s">
        <v>1</v>
      </c>
      <c r="B43" s="253" t="s">
        <v>88</v>
      </c>
    </row>
    <row r="44" spans="1:14" ht="18.75" x14ac:dyDescent="0.3">
      <c r="A44" s="248" t="s">
        <v>89</v>
      </c>
      <c r="B44" s="254" t="str">
        <f>B21</f>
        <v>Each vial contains:  Artesunate 60 mg. The combi pack contains 1 mL ampoule of Sodium Bicarbonate Injection  BP 5% w/v and 5 mL ampoule of Sodium Chloride Injection BP  0.9 % w/v.</v>
      </c>
    </row>
    <row r="45" spans="1:14" ht="18.75" x14ac:dyDescent="0.3">
      <c r="A45" s="255"/>
      <c r="B45" s="365"/>
      <c r="H45" s="256"/>
    </row>
    <row r="46" spans="1:14" ht="26.25" customHeight="1" x14ac:dyDescent="0.4">
      <c r="A46" s="254" t="s">
        <v>130</v>
      </c>
      <c r="B46" s="378">
        <v>100</v>
      </c>
      <c r="C46" s="243" t="s">
        <v>131</v>
      </c>
      <c r="D46" s="379">
        <v>5000</v>
      </c>
      <c r="E46" s="243" t="str">
        <f>B20</f>
        <v>sodium bicarbonate</v>
      </c>
      <c r="H46" s="256"/>
    </row>
    <row r="47" spans="1:14" ht="18.75" x14ac:dyDescent="0.3">
      <c r="A47" s="254"/>
      <c r="B47" s="363"/>
      <c r="H47" s="256"/>
    </row>
    <row r="48" spans="1:14" ht="26.25" customHeight="1" x14ac:dyDescent="0.4">
      <c r="A48" s="248" t="s">
        <v>132</v>
      </c>
      <c r="B48" s="380">
        <v>42</v>
      </c>
      <c r="C48" s="237" t="str">
        <f>B20</f>
        <v>sodium bicarbonate</v>
      </c>
      <c r="H48" s="256"/>
    </row>
    <row r="49" spans="1:10" ht="19.5" customHeight="1" x14ac:dyDescent="0.3">
      <c r="A49" s="237"/>
      <c r="B49" s="237"/>
      <c r="C49" s="237"/>
      <c r="D49" s="237"/>
      <c r="H49" s="256"/>
    </row>
    <row r="50" spans="1:10" ht="19.5" customHeight="1" x14ac:dyDescent="0.3">
      <c r="C50" s="237"/>
      <c r="D50" s="237"/>
      <c r="E50" s="237"/>
      <c r="F50" s="237"/>
      <c r="G50" s="563" t="s">
        <v>133</v>
      </c>
      <c r="H50" s="564"/>
      <c r="J50" s="351"/>
    </row>
    <row r="51" spans="1:10" ht="19.5" customHeight="1" x14ac:dyDescent="0.3">
      <c r="A51" s="310" t="s">
        <v>134</v>
      </c>
      <c r="B51" s="257" t="s">
        <v>135</v>
      </c>
      <c r="C51" s="257" t="s">
        <v>136</v>
      </c>
      <c r="D51" s="257" t="s">
        <v>137</v>
      </c>
      <c r="E51" s="257" t="s">
        <v>138</v>
      </c>
      <c r="F51" s="325" t="s">
        <v>139</v>
      </c>
      <c r="G51" s="257" t="s">
        <v>140</v>
      </c>
      <c r="H51" s="257" t="s">
        <v>141</v>
      </c>
      <c r="I51" s="377" t="s">
        <v>142</v>
      </c>
      <c r="J51" s="311"/>
    </row>
    <row r="52" spans="1:10" ht="26.25" customHeight="1" x14ac:dyDescent="0.4">
      <c r="A52" s="312" t="s">
        <v>125</v>
      </c>
      <c r="B52" s="315">
        <v>20</v>
      </c>
      <c r="C52" s="369">
        <v>22.9</v>
      </c>
      <c r="D52" s="319">
        <v>0</v>
      </c>
      <c r="E52" s="372">
        <f>IF(ISBLANK(B52),"-",C52-$D$56)</f>
        <v>22.9</v>
      </c>
      <c r="F52" s="328">
        <f>IF(ISBLANK(B52), "-",E52*$G$38)</f>
        <v>23.710676969663666</v>
      </c>
      <c r="G52" s="346">
        <f>IF(ISBLANK(B52),"-",F52*$B$48)</f>
        <v>995.84843272587398</v>
      </c>
      <c r="H52" s="327">
        <f>IF(ISBLANK(B52),"-",G52*$B$46/B52)</f>
        <v>4979.2421636293702</v>
      </c>
      <c r="I52" s="357">
        <f>IF(ISBLANK(B52),"-",H52/$D$46)</f>
        <v>0.99584843272587409</v>
      </c>
      <c r="J52" s="352"/>
    </row>
    <row r="53" spans="1:10" ht="26.25" customHeight="1" x14ac:dyDescent="0.4">
      <c r="A53" s="313" t="s">
        <v>126</v>
      </c>
      <c r="B53" s="316">
        <v>20</v>
      </c>
      <c r="C53" s="370">
        <v>22.8</v>
      </c>
      <c r="D53" s="320">
        <v>0</v>
      </c>
      <c r="E53" s="373">
        <f>IF(ISBLANK(B53),"-",C53-$D$56)</f>
        <v>22.8</v>
      </c>
      <c r="F53" s="329">
        <f>IF(ISBLANK(B53), "-",E53*$G$38)</f>
        <v>23.607136895560334</v>
      </c>
      <c r="G53" s="347">
        <f>IF(ISBLANK(B53),"-",F53*$B$48)</f>
        <v>991.49974961353405</v>
      </c>
      <c r="H53" s="350">
        <f>IF(ISBLANK(B53),"-",G53*$B$46/B53)</f>
        <v>4957.49874806767</v>
      </c>
      <c r="I53" s="358">
        <f>IF(ISBLANK(B53),"-",H53/$D$46)</f>
        <v>0.99149974961353404</v>
      </c>
      <c r="J53" s="352"/>
    </row>
    <row r="54" spans="1:10" ht="26.25" customHeight="1" x14ac:dyDescent="0.4">
      <c r="A54" s="313" t="s">
        <v>127</v>
      </c>
      <c r="B54" s="316">
        <v>20</v>
      </c>
      <c r="C54" s="370">
        <v>23</v>
      </c>
      <c r="D54" s="320">
        <v>0</v>
      </c>
      <c r="E54" s="373">
        <f>IF(ISBLANK(B54),"-",C54-$D$56)</f>
        <v>23</v>
      </c>
      <c r="F54" s="329">
        <f>IF(ISBLANK(B54), "-",E54*$G$38)</f>
        <v>23.814217043767002</v>
      </c>
      <c r="G54" s="347">
        <f>IF(ISBLANK(B54),"-",F54*$B$48)</f>
        <v>1000.1971158382141</v>
      </c>
      <c r="H54" s="350">
        <f>IF(ISBLANK(B54),"-",G54*$B$46/B54)</f>
        <v>5000.9855791910704</v>
      </c>
      <c r="I54" s="358">
        <f>IF(ISBLANK(B54),"-",H54/$D$46)</f>
        <v>1.0001971158382141</v>
      </c>
      <c r="J54" s="352"/>
    </row>
    <row r="55" spans="1:10" ht="27" customHeight="1" x14ac:dyDescent="0.4">
      <c r="A55" s="314" t="s">
        <v>128</v>
      </c>
      <c r="B55" s="317"/>
      <c r="C55" s="371"/>
      <c r="D55" s="321"/>
      <c r="E55" s="331" t="str">
        <f>IF(ISBLANK(B55),"-",C55-$D$56)</f>
        <v>-</v>
      </c>
      <c r="F55" s="330" t="str">
        <f>IF(ISBLANK(B55), "-",E55*$G$38)</f>
        <v>-</v>
      </c>
      <c r="G55" s="348" t="str">
        <f>IF(ISBLANK(B55),"-",F55*$B$48)</f>
        <v>-</v>
      </c>
      <c r="H55" s="360" t="str">
        <f>IF(ISBLANK(B55),"-",G55*$B$46/B55)</f>
        <v>-</v>
      </c>
      <c r="I55" s="358" t="str">
        <f>IF(ISBLANK(B55),"-",H55/$D$46)</f>
        <v>-</v>
      </c>
      <c r="J55" s="353"/>
    </row>
    <row r="56" spans="1:10" ht="26.25" customHeight="1" x14ac:dyDescent="0.4">
      <c r="C56" s="285" t="s">
        <v>129</v>
      </c>
      <c r="D56" s="318">
        <f>AVERAGE(D52:D55)</f>
        <v>0</v>
      </c>
      <c r="F56" s="285" t="s">
        <v>129</v>
      </c>
      <c r="G56" s="326">
        <f>AVERAGE(G52:G55)</f>
        <v>995.8484327258742</v>
      </c>
      <c r="H56" s="374">
        <f>AVERAGE(H52:H55)</f>
        <v>4979.2421636293702</v>
      </c>
      <c r="I56" s="359">
        <f>AVERAGE(I52:I55)</f>
        <v>0.99584843272587398</v>
      </c>
      <c r="J56" s="354"/>
    </row>
    <row r="57" spans="1:10" ht="26.25" customHeight="1" x14ac:dyDescent="0.4">
      <c r="B57" s="6" t="str">
        <f>Uniformity!C46</f>
        <v>% Deviation from mean</v>
      </c>
      <c r="C57" s="286" t="s">
        <v>87</v>
      </c>
      <c r="D57" s="287" t="str">
        <f>IF(D56=0,"-",STDEV(D52:D55)/D56)</f>
        <v>-</v>
      </c>
      <c r="F57" s="286" t="s">
        <v>87</v>
      </c>
      <c r="G57" s="349"/>
      <c r="H57" s="375">
        <f>STDEV(H52:H55)/H56</f>
        <v>4.3668122270742148E-3</v>
      </c>
      <c r="I57" s="323">
        <f>STDEV(I52:I55)/I56</f>
        <v>4.3668122270742208E-3</v>
      </c>
      <c r="J57" s="355"/>
    </row>
    <row r="58" spans="1:10" ht="27" customHeight="1" x14ac:dyDescent="0.4">
      <c r="C58" s="288" t="s">
        <v>20</v>
      </c>
      <c r="D58" s="289">
        <f>COUNT(D52:D55)</f>
        <v>3</v>
      </c>
      <c r="F58" s="288" t="s">
        <v>20</v>
      </c>
      <c r="G58" s="324">
        <f>COUNT(G52:G55)</f>
        <v>3</v>
      </c>
      <c r="H58" s="376">
        <f>COUNT(H52:H55)</f>
        <v>3</v>
      </c>
      <c r="I58" s="324">
        <f>COUNT(I52:I55)</f>
        <v>3</v>
      </c>
      <c r="J58" s="356"/>
    </row>
    <row r="59" spans="1:10" ht="18.75" x14ac:dyDescent="0.3">
      <c r="H59" s="256"/>
      <c r="J59" s="239"/>
    </row>
    <row r="60" spans="1:10" ht="18.75" x14ac:dyDescent="0.3">
      <c r="H60" s="256"/>
    </row>
    <row r="61" spans="1:10" ht="19.5" customHeight="1" x14ac:dyDescent="0.3">
      <c r="A61" s="242"/>
      <c r="B61" s="242"/>
      <c r="C61" s="261"/>
      <c r="D61" s="261"/>
      <c r="E61" s="261"/>
      <c r="F61" s="261"/>
      <c r="G61" s="261"/>
      <c r="H61" s="261"/>
    </row>
    <row r="62" spans="1:10" ht="18.75" x14ac:dyDescent="0.3">
      <c r="B62" s="536" t="s">
        <v>26</v>
      </c>
      <c r="C62" s="536"/>
      <c r="E62" s="270" t="s">
        <v>27</v>
      </c>
      <c r="F62" s="262"/>
      <c r="G62" s="536" t="s">
        <v>28</v>
      </c>
      <c r="H62" s="536"/>
    </row>
    <row r="63" spans="1:10" ht="83.25" customHeight="1" x14ac:dyDescent="0.3">
      <c r="A63" s="263" t="s">
        <v>29</v>
      </c>
      <c r="B63" s="264"/>
      <c r="C63" s="264"/>
      <c r="E63" s="265"/>
      <c r="F63" s="260"/>
      <c r="G63" s="266"/>
      <c r="H63" s="266"/>
    </row>
    <row r="64" spans="1:10" ht="84" customHeight="1" x14ac:dyDescent="0.3">
      <c r="A64" s="263" t="s">
        <v>30</v>
      </c>
      <c r="B64" s="267"/>
      <c r="C64" s="267"/>
      <c r="E64" s="268"/>
      <c r="F64" s="260"/>
      <c r="G64" s="269"/>
      <c r="H64" s="269"/>
    </row>
    <row r="65" spans="1:9" ht="18.75" x14ac:dyDescent="0.3">
      <c r="A65" s="258"/>
      <c r="B65" s="258"/>
      <c r="C65" s="251"/>
      <c r="D65" s="251"/>
      <c r="E65" s="251"/>
      <c r="F65" s="259"/>
      <c r="G65" s="251"/>
      <c r="H65" s="251"/>
      <c r="I65" s="240"/>
    </row>
    <row r="66" spans="1:9" ht="18.75" x14ac:dyDescent="0.3">
      <c r="A66" s="258"/>
      <c r="B66" s="258"/>
      <c r="C66" s="251"/>
      <c r="D66" s="251"/>
      <c r="E66" s="251"/>
      <c r="F66" s="259"/>
      <c r="G66" s="251"/>
      <c r="H66" s="251"/>
      <c r="I66" s="240"/>
    </row>
    <row r="67" spans="1:9" ht="18.75" x14ac:dyDescent="0.3">
      <c r="A67" s="258"/>
      <c r="B67" s="258"/>
      <c r="C67" s="251"/>
      <c r="D67" s="251"/>
      <c r="E67" s="251"/>
      <c r="F67" s="259"/>
      <c r="G67" s="251"/>
      <c r="H67" s="251"/>
      <c r="I67" s="240"/>
    </row>
    <row r="68" spans="1:9" ht="18.75" x14ac:dyDescent="0.3">
      <c r="A68" s="258"/>
      <c r="B68" s="258"/>
      <c r="C68" s="251"/>
      <c r="D68" s="251"/>
      <c r="E68" s="251"/>
      <c r="F68" s="259"/>
      <c r="G68" s="251"/>
      <c r="H68" s="251"/>
      <c r="I68" s="240"/>
    </row>
    <row r="69" spans="1:9" ht="18.75" x14ac:dyDescent="0.3">
      <c r="A69" s="258"/>
      <c r="B69" s="258"/>
      <c r="C69" s="251"/>
      <c r="D69" s="251"/>
      <c r="E69" s="251"/>
      <c r="F69" s="259"/>
      <c r="G69" s="251"/>
      <c r="H69" s="251"/>
      <c r="I69" s="240"/>
    </row>
    <row r="70" spans="1:9" ht="18.75" x14ac:dyDescent="0.3">
      <c r="A70" s="258"/>
      <c r="B70" s="258"/>
      <c r="C70" s="251"/>
      <c r="D70" s="251"/>
      <c r="E70" s="251"/>
      <c r="F70" s="259"/>
      <c r="G70" s="251"/>
      <c r="H70" s="251"/>
      <c r="I70" s="240"/>
    </row>
    <row r="71" spans="1:9" ht="18.75" x14ac:dyDescent="0.3">
      <c r="A71" s="258"/>
      <c r="B71" s="258"/>
      <c r="C71" s="251"/>
      <c r="D71" s="251"/>
      <c r="E71" s="251"/>
      <c r="F71" s="259"/>
      <c r="G71" s="251"/>
      <c r="H71" s="251"/>
      <c r="I71" s="240"/>
    </row>
    <row r="72" spans="1:9" ht="18.75" x14ac:dyDescent="0.3">
      <c r="A72" s="258"/>
      <c r="B72" s="258"/>
      <c r="C72" s="251"/>
      <c r="D72" s="251"/>
      <c r="E72" s="251"/>
      <c r="F72" s="259"/>
      <c r="G72" s="251"/>
      <c r="H72" s="251"/>
      <c r="I72" s="240"/>
    </row>
    <row r="73" spans="1:9" ht="18.75" x14ac:dyDescent="0.3">
      <c r="A73" s="258"/>
      <c r="B73" s="258"/>
      <c r="C73" s="251"/>
      <c r="D73" s="251"/>
      <c r="E73" s="251"/>
      <c r="F73" s="259"/>
      <c r="G73" s="251"/>
      <c r="H73" s="251"/>
      <c r="I73" s="240"/>
    </row>
    <row r="250" spans="1:1" x14ac:dyDescent="0.3">
      <c r="A250" s="6">
        <v>0</v>
      </c>
    </row>
  </sheetData>
  <sheetProtection password="F258" sheet="1" objects="1" scenarios="1" formatCells="0" formatColumn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9" zoomScale="55" zoomScaleNormal="75" zoomScalePageLayoutView="55" workbookViewId="0">
      <selection activeCell="A69" sqref="A69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534" t="s">
        <v>112</v>
      </c>
      <c r="B1" s="534"/>
      <c r="C1" s="534"/>
      <c r="D1" s="534"/>
      <c r="E1" s="534"/>
      <c r="F1" s="534"/>
      <c r="G1" s="534"/>
      <c r="H1" s="534"/>
      <c r="I1" s="534"/>
    </row>
    <row r="2" spans="1:9" ht="15" x14ac:dyDescent="0.3">
      <c r="A2" s="534"/>
      <c r="B2" s="534"/>
      <c r="C2" s="534"/>
      <c r="D2" s="534"/>
      <c r="E2" s="534"/>
      <c r="F2" s="534"/>
      <c r="G2" s="534"/>
      <c r="H2" s="534"/>
      <c r="I2" s="534"/>
    </row>
    <row r="3" spans="1:9" ht="15" x14ac:dyDescent="0.3">
      <c r="A3" s="534"/>
      <c r="B3" s="534"/>
      <c r="C3" s="534"/>
      <c r="D3" s="534"/>
      <c r="E3" s="534"/>
      <c r="F3" s="534"/>
      <c r="G3" s="534"/>
      <c r="H3" s="534"/>
      <c r="I3" s="534"/>
    </row>
    <row r="4" spans="1:9" ht="15" x14ac:dyDescent="0.3">
      <c r="A4" s="534"/>
      <c r="B4" s="534"/>
      <c r="C4" s="534"/>
      <c r="D4" s="534"/>
      <c r="E4" s="534"/>
      <c r="F4" s="534"/>
      <c r="G4" s="534"/>
      <c r="H4" s="534"/>
      <c r="I4" s="534"/>
    </row>
    <row r="5" spans="1:9" ht="15" x14ac:dyDescent="0.3">
      <c r="A5" s="534"/>
      <c r="B5" s="534"/>
      <c r="C5" s="534"/>
      <c r="D5" s="534"/>
      <c r="E5" s="534"/>
      <c r="F5" s="534"/>
      <c r="G5" s="534"/>
      <c r="H5" s="534"/>
      <c r="I5" s="534"/>
    </row>
    <row r="6" spans="1:9" ht="15" x14ac:dyDescent="0.3">
      <c r="A6" s="534"/>
      <c r="B6" s="534"/>
      <c r="C6" s="534"/>
      <c r="D6" s="534"/>
      <c r="E6" s="534"/>
      <c r="F6" s="534"/>
      <c r="G6" s="534"/>
      <c r="H6" s="534"/>
      <c r="I6" s="534"/>
    </row>
    <row r="7" spans="1:9" ht="15" x14ac:dyDescent="0.3">
      <c r="A7" s="534"/>
      <c r="B7" s="534"/>
      <c r="C7" s="534"/>
      <c r="D7" s="534"/>
      <c r="E7" s="534"/>
      <c r="F7" s="534"/>
      <c r="G7" s="534"/>
      <c r="H7" s="534"/>
      <c r="I7" s="534"/>
    </row>
    <row r="8" spans="1:9" ht="15" x14ac:dyDescent="0.3">
      <c r="A8" s="535" t="s">
        <v>50</v>
      </c>
      <c r="B8" s="535"/>
      <c r="C8" s="535"/>
      <c r="D8" s="535"/>
      <c r="E8" s="535"/>
      <c r="F8" s="535"/>
      <c r="G8" s="535"/>
      <c r="H8" s="535"/>
      <c r="I8" s="535"/>
    </row>
    <row r="9" spans="1:9" ht="15" x14ac:dyDescent="0.3">
      <c r="A9" s="535"/>
      <c r="B9" s="535"/>
      <c r="C9" s="535"/>
      <c r="D9" s="535"/>
      <c r="E9" s="535"/>
      <c r="F9" s="535"/>
      <c r="G9" s="535"/>
      <c r="H9" s="535"/>
      <c r="I9" s="535"/>
    </row>
    <row r="10" spans="1:9" ht="15" x14ac:dyDescent="0.3">
      <c r="A10" s="535"/>
      <c r="B10" s="535"/>
      <c r="C10" s="535"/>
      <c r="D10" s="535"/>
      <c r="E10" s="535"/>
      <c r="F10" s="535"/>
      <c r="G10" s="535"/>
      <c r="H10" s="535"/>
      <c r="I10" s="535"/>
    </row>
    <row r="11" spans="1:9" ht="15" x14ac:dyDescent="0.3">
      <c r="A11" s="535"/>
      <c r="B11" s="535"/>
      <c r="C11" s="535"/>
      <c r="D11" s="535"/>
      <c r="E11" s="535"/>
      <c r="F11" s="535"/>
      <c r="G11" s="535"/>
      <c r="H11" s="535"/>
      <c r="I11" s="535"/>
    </row>
    <row r="12" spans="1:9" ht="15" x14ac:dyDescent="0.3">
      <c r="A12" s="535"/>
      <c r="B12" s="535"/>
      <c r="C12" s="535"/>
      <c r="D12" s="535"/>
      <c r="E12" s="535"/>
      <c r="F12" s="535"/>
      <c r="G12" s="535"/>
      <c r="H12" s="535"/>
      <c r="I12" s="535"/>
    </row>
    <row r="13" spans="1:9" ht="15" x14ac:dyDescent="0.3">
      <c r="A13" s="535"/>
      <c r="B13" s="535"/>
      <c r="C13" s="535"/>
      <c r="D13" s="535"/>
      <c r="E13" s="535"/>
      <c r="F13" s="535"/>
      <c r="G13" s="535"/>
      <c r="H13" s="535"/>
      <c r="I13" s="535"/>
    </row>
    <row r="14" spans="1:9" ht="15" x14ac:dyDescent="0.3">
      <c r="A14" s="535"/>
      <c r="B14" s="535"/>
      <c r="C14" s="535"/>
      <c r="D14" s="535"/>
      <c r="E14" s="535"/>
      <c r="F14" s="535"/>
      <c r="G14" s="535"/>
      <c r="H14" s="535"/>
      <c r="I14" s="535"/>
    </row>
    <row r="15" spans="1:9" ht="19.5" customHeight="1" x14ac:dyDescent="0.3"/>
    <row r="16" spans="1:9" ht="19.5" customHeight="1" x14ac:dyDescent="0.3">
      <c r="A16" s="565" t="s">
        <v>31</v>
      </c>
      <c r="B16" s="566"/>
      <c r="C16" s="566"/>
      <c r="D16" s="566"/>
      <c r="E16" s="566"/>
      <c r="F16" s="566"/>
      <c r="G16" s="566"/>
      <c r="H16" s="567"/>
    </row>
    <row r="17" spans="1:14" ht="18.75" x14ac:dyDescent="0.3">
      <c r="A17" s="568" t="s">
        <v>51</v>
      </c>
      <c r="B17" s="568"/>
      <c r="C17" s="568"/>
      <c r="D17" s="568"/>
      <c r="E17" s="568"/>
      <c r="F17" s="568"/>
      <c r="G17" s="568"/>
      <c r="H17" s="568"/>
    </row>
    <row r="18" spans="1:14" ht="18.75" x14ac:dyDescent="0.3">
      <c r="A18" s="388" t="s">
        <v>33</v>
      </c>
      <c r="B18" s="418" t="s">
        <v>5</v>
      </c>
      <c r="C18" s="418"/>
      <c r="D18" s="418"/>
      <c r="E18" s="418"/>
    </row>
    <row r="19" spans="1:14" ht="18.75" x14ac:dyDescent="0.3">
      <c r="A19" s="388" t="s">
        <v>34</v>
      </c>
      <c r="B19" s="419" t="s">
        <v>7</v>
      </c>
      <c r="C19" s="508">
        <v>22</v>
      </c>
    </row>
    <row r="20" spans="1:14" ht="18.75" x14ac:dyDescent="0.3">
      <c r="A20" s="388" t="s">
        <v>35</v>
      </c>
      <c r="B20" s="419" t="s">
        <v>145</v>
      </c>
    </row>
    <row r="21" spans="1:14" ht="18.75" x14ac:dyDescent="0.3">
      <c r="A21" s="388" t="s">
        <v>36</v>
      </c>
      <c r="B21" s="389" t="s">
        <v>11</v>
      </c>
      <c r="C21" s="389"/>
      <c r="D21" s="389"/>
      <c r="E21" s="389"/>
      <c r="F21" s="389"/>
      <c r="G21" s="389"/>
      <c r="H21" s="389"/>
      <c r="I21" s="385"/>
    </row>
    <row r="22" spans="1:14" ht="18.75" x14ac:dyDescent="0.3">
      <c r="A22" s="388" t="s">
        <v>37</v>
      </c>
      <c r="B22" s="420" t="s">
        <v>12</v>
      </c>
    </row>
    <row r="23" spans="1:14" ht="18.75" x14ac:dyDescent="0.3">
      <c r="A23" s="388" t="s">
        <v>38</v>
      </c>
      <c r="B23" s="420">
        <v>42251</v>
      </c>
    </row>
    <row r="24" spans="1:14" ht="18.75" x14ac:dyDescent="0.3">
      <c r="A24" s="388"/>
      <c r="B24" s="390"/>
    </row>
    <row r="25" spans="1:14" ht="18.75" x14ac:dyDescent="0.3">
      <c r="A25" s="391" t="s">
        <v>1</v>
      </c>
      <c r="B25" s="397" t="s">
        <v>113</v>
      </c>
    </row>
    <row r="26" spans="1:14" s="37" customFormat="1" ht="18.75" x14ac:dyDescent="0.3">
      <c r="A26" s="392"/>
      <c r="B26" s="393"/>
      <c r="C26" s="415"/>
      <c r="D26" s="415"/>
      <c r="E26" s="415"/>
      <c r="F26" s="415"/>
      <c r="G26" s="387"/>
      <c r="H26" s="415"/>
      <c r="I26" s="416"/>
      <c r="J26" s="416"/>
      <c r="K26" s="416"/>
      <c r="L26" s="382"/>
      <c r="M26" s="382"/>
      <c r="N26" s="417"/>
    </row>
    <row r="27" spans="1:14" s="37" customFormat="1" ht="26.25" customHeight="1" x14ac:dyDescent="0.4">
      <c r="A27" s="427" t="s">
        <v>4</v>
      </c>
      <c r="B27" s="452" t="s">
        <v>145</v>
      </c>
      <c r="C27" s="450"/>
      <c r="D27" s="435"/>
      <c r="E27" s="428"/>
      <c r="F27" s="428"/>
      <c r="G27" s="428"/>
      <c r="H27" s="415"/>
      <c r="I27" s="416"/>
      <c r="J27" s="416"/>
      <c r="K27" s="416"/>
      <c r="L27" s="382"/>
      <c r="M27" s="382"/>
      <c r="N27" s="417"/>
    </row>
    <row r="28" spans="1:14" s="37" customFormat="1" ht="26.25" customHeight="1" x14ac:dyDescent="0.4">
      <c r="A28" s="394" t="s">
        <v>114</v>
      </c>
      <c r="B28" s="450">
        <v>58.44</v>
      </c>
      <c r="C28" s="451"/>
      <c r="D28" s="426"/>
      <c r="E28" s="426"/>
      <c r="F28" s="426"/>
      <c r="G28" s="426"/>
      <c r="H28" s="424"/>
      <c r="I28" s="416"/>
      <c r="J28" s="416"/>
      <c r="K28" s="416"/>
      <c r="L28" s="382"/>
      <c r="M28" s="382"/>
      <c r="N28" s="417"/>
    </row>
    <row r="29" spans="1:14" s="37" customFormat="1" ht="26.25" customHeight="1" x14ac:dyDescent="0.4">
      <c r="A29" s="476" t="s">
        <v>115</v>
      </c>
      <c r="B29" s="477">
        <v>0.1</v>
      </c>
      <c r="C29" s="451"/>
      <c r="D29" s="426"/>
      <c r="E29" s="426"/>
      <c r="F29" s="426"/>
      <c r="G29" s="426"/>
      <c r="H29" s="424"/>
      <c r="I29" s="416"/>
      <c r="J29" s="416"/>
      <c r="K29" s="416"/>
      <c r="L29" s="382"/>
      <c r="M29" s="382"/>
      <c r="N29" s="417"/>
    </row>
    <row r="30" spans="1:14" s="37" customFormat="1" ht="18.75" x14ac:dyDescent="0.3">
      <c r="A30" s="441" t="s">
        <v>116</v>
      </c>
      <c r="B30" s="436">
        <v>1</v>
      </c>
      <c r="C30" s="437" t="s">
        <v>117</v>
      </c>
      <c r="D30" s="436">
        <v>1</v>
      </c>
      <c r="F30" s="415"/>
      <c r="G30" s="387"/>
      <c r="H30" s="415"/>
      <c r="I30" s="416"/>
      <c r="J30" s="416"/>
      <c r="K30" s="416"/>
      <c r="L30" s="382"/>
      <c r="M30" s="382"/>
      <c r="N30" s="417"/>
    </row>
    <row r="31" spans="1:14" s="37" customFormat="1" ht="18.75" x14ac:dyDescent="0.3">
      <c r="A31" s="392"/>
      <c r="B31" s="393"/>
      <c r="C31" s="415"/>
      <c r="D31" s="415"/>
      <c r="E31" s="415"/>
      <c r="F31" s="415"/>
      <c r="G31" s="387"/>
      <c r="H31" s="415"/>
      <c r="I31" s="416"/>
      <c r="J31" s="416"/>
      <c r="K31" s="416"/>
      <c r="L31" s="382"/>
      <c r="M31" s="382"/>
      <c r="N31" s="417"/>
    </row>
    <row r="32" spans="1:14" s="37" customFormat="1" ht="19.5" customHeight="1" x14ac:dyDescent="0.3">
      <c r="A32" s="392"/>
      <c r="B32" s="393"/>
      <c r="C32" s="415"/>
      <c r="D32" s="415"/>
      <c r="E32" s="415"/>
      <c r="F32" s="415"/>
      <c r="G32" s="387"/>
      <c r="H32" s="415"/>
      <c r="I32" s="416"/>
      <c r="J32" s="416"/>
      <c r="K32" s="416"/>
      <c r="L32" s="382"/>
      <c r="M32" s="382"/>
      <c r="N32" s="417"/>
    </row>
    <row r="33" spans="1:14" s="37" customFormat="1" ht="19.5" customHeight="1" x14ac:dyDescent="0.3">
      <c r="A33" s="401" t="s">
        <v>118</v>
      </c>
      <c r="B33" s="401" t="s">
        <v>119</v>
      </c>
      <c r="C33" s="445" t="s">
        <v>120</v>
      </c>
      <c r="D33" s="401" t="s">
        <v>121</v>
      </c>
      <c r="E33" s="449" t="s">
        <v>122</v>
      </c>
      <c r="F33" s="453" t="s">
        <v>123</v>
      </c>
      <c r="G33" s="401" t="s">
        <v>124</v>
      </c>
      <c r="J33" s="416"/>
      <c r="K33" s="416"/>
      <c r="L33" s="382"/>
      <c r="M33" s="382"/>
      <c r="N33" s="417"/>
    </row>
    <row r="34" spans="1:14" s="37" customFormat="1" ht="26.25" customHeight="1" x14ac:dyDescent="0.4">
      <c r="A34" s="438" t="s">
        <v>125</v>
      </c>
      <c r="B34" s="442">
        <v>50.19</v>
      </c>
      <c r="C34" s="446">
        <f>IF(ISBLANK(B34), "-",B34/$B$28*($B$30/$D$30))</f>
        <v>0.85882956878850103</v>
      </c>
      <c r="D34" s="510">
        <v>8.7729999999999997</v>
      </c>
      <c r="E34" s="478">
        <f>IF(ISBLANK(B34), "-",C34/D34)</f>
        <v>9.7894627697310055E-2</v>
      </c>
      <c r="F34" s="487">
        <f>IF(ISBLANK(B34), "-",(E34-$B$29)/$B$29)</f>
        <v>-2.1053723026899507E-2</v>
      </c>
      <c r="G34" s="481">
        <f>IF(ISBLANK(B34),"-",E34/$B$29)</f>
        <v>0.97894627697310055</v>
      </c>
      <c r="J34" s="416"/>
      <c r="K34" s="416"/>
      <c r="L34" s="382"/>
      <c r="M34" s="382"/>
      <c r="N34" s="417"/>
    </row>
    <row r="35" spans="1:14" s="37" customFormat="1" ht="26.25" customHeight="1" x14ac:dyDescent="0.4">
      <c r="A35" s="439" t="s">
        <v>126</v>
      </c>
      <c r="B35" s="443">
        <v>50.36</v>
      </c>
      <c r="C35" s="447">
        <f>IF(ISBLANK(B35), "-",B35/$B$28*($B$30/$D$30))</f>
        <v>0.86173853524982891</v>
      </c>
      <c r="D35" s="511">
        <v>8.7899999999999991</v>
      </c>
      <c r="E35" s="479">
        <f>IF(ISBLANK(B35), "-",C35/D35)</f>
        <v>9.8036238367443573E-2</v>
      </c>
      <c r="F35" s="488">
        <f>IF(ISBLANK(B35), "-",(E35-$B$29)/$B$29)</f>
        <v>-1.9637616325564322E-2</v>
      </c>
      <c r="G35" s="482">
        <f>IF(ISBLANK(B35),"-",E35/$B$29)</f>
        <v>0.98036238367443573</v>
      </c>
      <c r="J35" s="416"/>
      <c r="K35" s="416"/>
      <c r="L35" s="382"/>
      <c r="M35" s="382"/>
      <c r="N35" s="417"/>
    </row>
    <row r="36" spans="1:14" s="37" customFormat="1" ht="26.25" customHeight="1" x14ac:dyDescent="0.4">
      <c r="A36" s="439" t="s">
        <v>127</v>
      </c>
      <c r="B36" s="443">
        <v>50.5</v>
      </c>
      <c r="C36" s="447">
        <f>IF(ISBLANK(B36), "-",B36/$B$28*($B$30/$D$30))</f>
        <v>0.86413415468856947</v>
      </c>
      <c r="D36" s="511">
        <v>8.8089999999999993</v>
      </c>
      <c r="E36" s="479">
        <f>IF(ISBLANK(B36), "-",C36/D36)</f>
        <v>9.8096736824675845E-2</v>
      </c>
      <c r="F36" s="488">
        <f>IF(ISBLANK(B36), "-",(E36-$B$29)/$B$29)</f>
        <v>-1.9032631753241602E-2</v>
      </c>
      <c r="G36" s="482">
        <f>IF(ISBLANK(B36),"-",E36/$B$29)</f>
        <v>0.98096736824675845</v>
      </c>
      <c r="J36" s="416"/>
      <c r="K36" s="416"/>
      <c r="L36" s="382"/>
      <c r="M36" s="382"/>
      <c r="N36" s="417"/>
    </row>
    <row r="37" spans="1:14" s="37" customFormat="1" ht="27" customHeight="1" x14ac:dyDescent="0.4">
      <c r="A37" s="440" t="s">
        <v>128</v>
      </c>
      <c r="B37" s="444"/>
      <c r="C37" s="448" t="str">
        <f>IF(ISBLANK(B37), "-",B37/$B$28*($B$30/$D$30))</f>
        <v>-</v>
      </c>
      <c r="D37" s="512"/>
      <c r="E37" s="480" t="str">
        <f>IF(ISBLANK(B37), "-",C37/D37)</f>
        <v>-</v>
      </c>
      <c r="F37" s="489" t="str">
        <f>IF(ISBLANK(B37), "-",(E37-$B$29)/$B$29)</f>
        <v>-</v>
      </c>
      <c r="G37" s="483" t="str">
        <f>IF(ISBLANK(B37),"-",E37/$B$29)</f>
        <v>-</v>
      </c>
      <c r="J37" s="416"/>
      <c r="K37" s="416"/>
      <c r="L37" s="382"/>
      <c r="M37" s="382"/>
      <c r="N37" s="417"/>
    </row>
    <row r="38" spans="1:14" ht="19.5" customHeight="1" x14ac:dyDescent="0.3">
      <c r="A38" s="381"/>
      <c r="B38" s="381"/>
      <c r="C38" s="381"/>
      <c r="D38" s="466" t="s">
        <v>129</v>
      </c>
      <c r="E38" s="434">
        <f>AVERAGE(E34:E37)</f>
        <v>9.8009200963143153E-2</v>
      </c>
      <c r="F38" s="506">
        <f>AVERAGE(F34:F37)</f>
        <v>-1.9907990368568478E-2</v>
      </c>
      <c r="G38" s="505">
        <f>AVERAGE(G34:G37)</f>
        <v>0.98009200963143162</v>
      </c>
      <c r="H38" s="381"/>
      <c r="L38" s="382"/>
      <c r="M38" s="382"/>
      <c r="N38" s="383"/>
    </row>
    <row r="39" spans="1:14" ht="18.75" x14ac:dyDescent="0.3">
      <c r="A39" s="381"/>
      <c r="B39" s="421"/>
      <c r="C39" s="423"/>
      <c r="D39" s="430" t="s">
        <v>87</v>
      </c>
      <c r="E39" s="431">
        <f>STDEV(E34:E37)/E38</f>
        <v>1.058388603825415E-3</v>
      </c>
      <c r="F39" s="485"/>
      <c r="G39" s="381"/>
      <c r="H39" s="381"/>
    </row>
    <row r="40" spans="1:14" ht="19.5" customHeight="1" x14ac:dyDescent="0.3">
      <c r="A40" s="381"/>
      <c r="B40" s="421"/>
      <c r="C40" s="423"/>
      <c r="D40" s="432" t="s">
        <v>20</v>
      </c>
      <c r="E40" s="433">
        <f>COUNT(E34:E37)</f>
        <v>3</v>
      </c>
      <c r="F40" s="486"/>
      <c r="G40" s="381"/>
      <c r="H40" s="381"/>
    </row>
    <row r="41" spans="1:14" ht="18.75" x14ac:dyDescent="0.3">
      <c r="A41" s="425"/>
      <c r="B41" s="422"/>
      <c r="C41" s="421"/>
      <c r="D41" s="421"/>
      <c r="E41" s="421"/>
      <c r="F41" s="484"/>
      <c r="G41" s="381"/>
      <c r="H41" s="381"/>
    </row>
    <row r="43" spans="1:14" ht="18.75" x14ac:dyDescent="0.3">
      <c r="A43" s="396" t="s">
        <v>1</v>
      </c>
      <c r="B43" s="397" t="s">
        <v>88</v>
      </c>
    </row>
    <row r="44" spans="1:14" ht="18.75" x14ac:dyDescent="0.3">
      <c r="A44" s="392" t="s">
        <v>89</v>
      </c>
      <c r="B44" s="398" t="str">
        <f>B21</f>
        <v>Each vial contains:  Artesunate 60 mg. The combi pack contains 1 mL ampoule of Sodium Bicarbonate Injection  BP 5% w/v and 5 mL ampoule of Sodium Chloride Injection BP  0.9 % w/v.</v>
      </c>
    </row>
    <row r="45" spans="1:14" ht="18.75" x14ac:dyDescent="0.3">
      <c r="A45" s="399"/>
      <c r="B45" s="509"/>
      <c r="H45" s="400"/>
    </row>
    <row r="46" spans="1:14" ht="26.25" customHeight="1" x14ac:dyDescent="0.4">
      <c r="A46" s="398" t="s">
        <v>130</v>
      </c>
      <c r="B46" s="522">
        <v>100</v>
      </c>
      <c r="C46" s="387" t="s">
        <v>131</v>
      </c>
      <c r="D46" s="523">
        <v>900</v>
      </c>
      <c r="E46" s="387" t="str">
        <f>B20</f>
        <v>Sodium chloride</v>
      </c>
      <c r="H46" s="400"/>
    </row>
    <row r="47" spans="1:14" ht="18.75" x14ac:dyDescent="0.3">
      <c r="A47" s="398"/>
      <c r="B47" s="507"/>
      <c r="H47" s="400"/>
    </row>
    <row r="48" spans="1:14" ht="26.25" customHeight="1" x14ac:dyDescent="0.4">
      <c r="A48" s="392" t="s">
        <v>132</v>
      </c>
      <c r="B48" s="524">
        <v>5.8440000000000003</v>
      </c>
      <c r="C48" s="381" t="str">
        <f>B20</f>
        <v>Sodium chloride</v>
      </c>
      <c r="H48" s="400"/>
    </row>
    <row r="49" spans="1:10" ht="19.5" customHeight="1" x14ac:dyDescent="0.3">
      <c r="A49" s="381"/>
      <c r="B49" s="381"/>
      <c r="C49" s="381"/>
      <c r="D49" s="381"/>
      <c r="H49" s="400"/>
    </row>
    <row r="50" spans="1:10" ht="19.5" customHeight="1" x14ac:dyDescent="0.3">
      <c r="C50" s="381"/>
      <c r="D50" s="381"/>
      <c r="E50" s="381"/>
      <c r="F50" s="381"/>
      <c r="G50" s="563" t="s">
        <v>133</v>
      </c>
      <c r="H50" s="564"/>
      <c r="J50" s="495"/>
    </row>
    <row r="51" spans="1:10" ht="19.5" customHeight="1" x14ac:dyDescent="0.3">
      <c r="A51" s="454" t="s">
        <v>134</v>
      </c>
      <c r="B51" s="401" t="s">
        <v>135</v>
      </c>
      <c r="C51" s="401" t="s">
        <v>136</v>
      </c>
      <c r="D51" s="401" t="s">
        <v>137</v>
      </c>
      <c r="E51" s="401" t="s">
        <v>138</v>
      </c>
      <c r="F51" s="469" t="s">
        <v>139</v>
      </c>
      <c r="G51" s="401" t="s">
        <v>140</v>
      </c>
      <c r="H51" s="401" t="s">
        <v>141</v>
      </c>
      <c r="I51" s="521" t="s">
        <v>142</v>
      </c>
      <c r="J51" s="455"/>
    </row>
    <row r="52" spans="1:10" ht="26.25" customHeight="1" x14ac:dyDescent="0.4">
      <c r="A52" s="456" t="s">
        <v>125</v>
      </c>
      <c r="B52" s="459">
        <v>5</v>
      </c>
      <c r="C52" s="513">
        <v>8.4060000000000006</v>
      </c>
      <c r="D52" s="463">
        <v>0</v>
      </c>
      <c r="E52" s="516">
        <f>IF(ISBLANK(B52),"-",C52-$D$56)</f>
        <v>8.4060000000000006</v>
      </c>
      <c r="F52" s="472">
        <f>IF(ISBLANK(B52), "-",E52*$G$38)</f>
        <v>8.2386534329618151</v>
      </c>
      <c r="G52" s="490">
        <f>IF(ISBLANK(B52),"-",F52*$B$48)</f>
        <v>48.146690662228849</v>
      </c>
      <c r="H52" s="471">
        <f>IF(ISBLANK(B52),"-",G52*$B$46/B52)</f>
        <v>962.93381324457698</v>
      </c>
      <c r="I52" s="501">
        <f>IF(ISBLANK(B52),"-",H52/$D$46)</f>
        <v>1.069926459160641</v>
      </c>
      <c r="J52" s="496"/>
    </row>
    <row r="53" spans="1:10" ht="26.25" customHeight="1" x14ac:dyDescent="0.4">
      <c r="A53" s="457" t="s">
        <v>126</v>
      </c>
      <c r="B53" s="460">
        <v>5</v>
      </c>
      <c r="C53" s="514">
        <v>8.4039999999999999</v>
      </c>
      <c r="D53" s="464">
        <v>0</v>
      </c>
      <c r="E53" s="517">
        <f>IF(ISBLANK(B53),"-",C53-$D$56)</f>
        <v>8.4039999999999999</v>
      </c>
      <c r="F53" s="473">
        <f>IF(ISBLANK(B53), "-",E53*$G$38)</f>
        <v>8.2366932489425508</v>
      </c>
      <c r="G53" s="491">
        <f>IF(ISBLANK(B53),"-",F53*$B$48)</f>
        <v>48.135235346820266</v>
      </c>
      <c r="H53" s="494">
        <f>IF(ISBLANK(B53),"-",G53*$B$46/B53)</f>
        <v>962.70470693640527</v>
      </c>
      <c r="I53" s="502">
        <f>IF(ISBLANK(B53),"-",H53/$D$46)</f>
        <v>1.0696718965960059</v>
      </c>
      <c r="J53" s="496"/>
    </row>
    <row r="54" spans="1:10" ht="26.25" customHeight="1" x14ac:dyDescent="0.4">
      <c r="A54" s="457" t="s">
        <v>127</v>
      </c>
      <c r="B54" s="460">
        <v>5</v>
      </c>
      <c r="C54" s="514">
        <v>8.3989999999999991</v>
      </c>
      <c r="D54" s="464">
        <v>0</v>
      </c>
      <c r="E54" s="517">
        <f>IF(ISBLANK(B54),"-",C54-$D$56)</f>
        <v>8.3989999999999991</v>
      </c>
      <c r="F54" s="473">
        <f>IF(ISBLANK(B54), "-",E54*$G$38)</f>
        <v>8.2317927888943938</v>
      </c>
      <c r="G54" s="491">
        <f>IF(ISBLANK(B54),"-",F54*$B$48)</f>
        <v>48.106597058298838</v>
      </c>
      <c r="H54" s="494">
        <f>IF(ISBLANK(B54),"-",G54*$B$46/B54)</f>
        <v>962.13194116597674</v>
      </c>
      <c r="I54" s="502">
        <f>IF(ISBLANK(B54),"-",H54/$D$46)</f>
        <v>1.0690354901844186</v>
      </c>
      <c r="J54" s="496"/>
    </row>
    <row r="55" spans="1:10" ht="27" customHeight="1" x14ac:dyDescent="0.4">
      <c r="A55" s="458" t="s">
        <v>128</v>
      </c>
      <c r="B55" s="461"/>
      <c r="C55" s="515"/>
      <c r="D55" s="465"/>
      <c r="E55" s="475" t="str">
        <f>IF(ISBLANK(B55),"-",C55-$D$56)</f>
        <v>-</v>
      </c>
      <c r="F55" s="474" t="str">
        <f>IF(ISBLANK(B55), "-",E55*$G$38)</f>
        <v>-</v>
      </c>
      <c r="G55" s="492" t="str">
        <f>IF(ISBLANK(B55),"-",F55*$B$48)</f>
        <v>-</v>
      </c>
      <c r="H55" s="504" t="str">
        <f>IF(ISBLANK(B55),"-",G55*$B$46/B55)</f>
        <v>-</v>
      </c>
      <c r="I55" s="502" t="str">
        <f>IF(ISBLANK(B55),"-",H55/$D$46)</f>
        <v>-</v>
      </c>
      <c r="J55" s="497"/>
    </row>
    <row r="56" spans="1:10" ht="26.25" customHeight="1" x14ac:dyDescent="0.4">
      <c r="C56" s="429" t="s">
        <v>129</v>
      </c>
      <c r="D56" s="462">
        <f>AVERAGE(D52:D55)</f>
        <v>0</v>
      </c>
      <c r="F56" s="429" t="s">
        <v>129</v>
      </c>
      <c r="G56" s="470">
        <f>AVERAGE(G52:G55)</f>
        <v>48.129507689115989</v>
      </c>
      <c r="H56" s="518">
        <f>AVERAGE(H52:H55)</f>
        <v>962.59015378231959</v>
      </c>
      <c r="I56" s="503">
        <f>AVERAGE(I52:I55)</f>
        <v>1.0695446153136885</v>
      </c>
      <c r="J56" s="498"/>
    </row>
    <row r="57" spans="1:10" ht="26.25" customHeight="1" x14ac:dyDescent="0.4">
      <c r="B57" s="6" t="str">
        <f>Uniformity!C46</f>
        <v>% Deviation from mean</v>
      </c>
      <c r="C57" s="430" t="s">
        <v>87</v>
      </c>
      <c r="D57" s="431" t="str">
        <f>IF(D56=0,"-",STDEV(D52:D55)/D56)</f>
        <v>-</v>
      </c>
      <c r="F57" s="430" t="s">
        <v>87</v>
      </c>
      <c r="G57" s="493"/>
      <c r="H57" s="519">
        <f>STDEV(H52:H55)/H56</f>
        <v>4.2907905217952889E-4</v>
      </c>
      <c r="I57" s="467">
        <f>STDEV(I52:I55)/I56</f>
        <v>4.2907905217951745E-4</v>
      </c>
      <c r="J57" s="499"/>
    </row>
    <row r="58" spans="1:10" ht="27" customHeight="1" x14ac:dyDescent="0.4">
      <c r="C58" s="432" t="s">
        <v>20</v>
      </c>
      <c r="D58" s="433">
        <f>COUNT(D52:D55)</f>
        <v>3</v>
      </c>
      <c r="F58" s="432" t="s">
        <v>20</v>
      </c>
      <c r="G58" s="468">
        <f>COUNT(G52:G55)</f>
        <v>3</v>
      </c>
      <c r="H58" s="520">
        <f>COUNT(H52:H55)</f>
        <v>3</v>
      </c>
      <c r="I58" s="468">
        <f>COUNT(I52:I55)</f>
        <v>3</v>
      </c>
      <c r="J58" s="500"/>
    </row>
    <row r="59" spans="1:10" ht="18.75" x14ac:dyDescent="0.3">
      <c r="H59" s="400"/>
      <c r="J59" s="383"/>
    </row>
    <row r="60" spans="1:10" ht="18.75" x14ac:dyDescent="0.3">
      <c r="H60" s="400"/>
    </row>
    <row r="61" spans="1:10" ht="19.5" customHeight="1" x14ac:dyDescent="0.3">
      <c r="A61" s="386"/>
      <c r="B61" s="386"/>
      <c r="C61" s="405"/>
      <c r="D61" s="405"/>
      <c r="E61" s="405"/>
      <c r="F61" s="405"/>
      <c r="G61" s="405"/>
      <c r="H61" s="405"/>
    </row>
    <row r="62" spans="1:10" ht="18.75" x14ac:dyDescent="0.3">
      <c r="B62" s="536" t="s">
        <v>26</v>
      </c>
      <c r="C62" s="536"/>
      <c r="E62" s="414" t="s">
        <v>27</v>
      </c>
      <c r="F62" s="406"/>
      <c r="G62" s="536" t="s">
        <v>28</v>
      </c>
      <c r="H62" s="536"/>
    </row>
    <row r="63" spans="1:10" ht="83.25" customHeight="1" x14ac:dyDescent="0.3">
      <c r="A63" s="407" t="s">
        <v>29</v>
      </c>
      <c r="B63" s="408"/>
      <c r="C63" s="408"/>
      <c r="E63" s="409"/>
      <c r="F63" s="404"/>
      <c r="G63" s="410"/>
      <c r="H63" s="410"/>
    </row>
    <row r="64" spans="1:10" ht="84" customHeight="1" x14ac:dyDescent="0.3">
      <c r="A64" s="407" t="s">
        <v>30</v>
      </c>
      <c r="B64" s="411"/>
      <c r="C64" s="411"/>
      <c r="E64" s="412"/>
      <c r="F64" s="404"/>
      <c r="G64" s="413"/>
      <c r="H64" s="413"/>
    </row>
    <row r="65" spans="1:9" ht="18.75" x14ac:dyDescent="0.3">
      <c r="A65" s="402"/>
      <c r="B65" s="402"/>
      <c r="C65" s="395"/>
      <c r="D65" s="395"/>
      <c r="E65" s="395"/>
      <c r="F65" s="403"/>
      <c r="G65" s="395"/>
      <c r="H65" s="395"/>
      <c r="I65" s="384"/>
    </row>
    <row r="66" spans="1:9" ht="18.75" x14ac:dyDescent="0.3">
      <c r="A66" s="402"/>
      <c r="B66" s="402"/>
      <c r="C66" s="395"/>
      <c r="D66" s="395"/>
      <c r="E66" s="395"/>
      <c r="F66" s="403"/>
      <c r="G66" s="395"/>
      <c r="H66" s="395"/>
      <c r="I66" s="384"/>
    </row>
    <row r="67" spans="1:9" ht="18.75" x14ac:dyDescent="0.3">
      <c r="A67" s="402"/>
      <c r="B67" s="402"/>
      <c r="C67" s="395"/>
      <c r="D67" s="395"/>
      <c r="E67" s="395"/>
      <c r="F67" s="403"/>
      <c r="G67" s="395"/>
      <c r="H67" s="395"/>
      <c r="I67" s="384"/>
    </row>
    <row r="68" spans="1:9" ht="18.75" x14ac:dyDescent="0.3">
      <c r="A68" s="402"/>
      <c r="B68" s="402"/>
      <c r="C68" s="395"/>
      <c r="D68" s="395"/>
      <c r="E68" s="395"/>
      <c r="F68" s="403"/>
      <c r="G68" s="395"/>
      <c r="H68" s="395"/>
      <c r="I68" s="384"/>
    </row>
    <row r="69" spans="1:9" ht="18.75" x14ac:dyDescent="0.3">
      <c r="A69" s="402"/>
      <c r="B69" s="402"/>
      <c r="C69" s="395"/>
      <c r="D69" s="395"/>
      <c r="E69" s="395"/>
      <c r="F69" s="403"/>
      <c r="G69" s="395"/>
      <c r="H69" s="395"/>
      <c r="I69" s="384"/>
    </row>
    <row r="70" spans="1:9" ht="18.75" x14ac:dyDescent="0.3">
      <c r="A70" s="402"/>
      <c r="B70" s="402"/>
      <c r="C70" s="395"/>
      <c r="D70" s="395"/>
      <c r="E70" s="395"/>
      <c r="F70" s="403"/>
      <c r="G70" s="395"/>
      <c r="H70" s="395"/>
      <c r="I70" s="384"/>
    </row>
    <row r="71" spans="1:9" ht="18.75" x14ac:dyDescent="0.3">
      <c r="A71" s="402"/>
      <c r="B71" s="402"/>
      <c r="C71" s="395"/>
      <c r="D71" s="395"/>
      <c r="E71" s="395"/>
      <c r="F71" s="403"/>
      <c r="G71" s="395"/>
      <c r="H71" s="395"/>
      <c r="I71" s="384"/>
    </row>
    <row r="72" spans="1:9" ht="18.75" x14ac:dyDescent="0.3">
      <c r="A72" s="402"/>
      <c r="B72" s="402"/>
      <c r="C72" s="395"/>
      <c r="D72" s="395"/>
      <c r="E72" s="395"/>
      <c r="F72" s="403"/>
      <c r="G72" s="395"/>
      <c r="H72" s="395"/>
      <c r="I72" s="384"/>
    </row>
    <row r="73" spans="1:9" ht="18.75" x14ac:dyDescent="0.3">
      <c r="A73" s="402"/>
      <c r="B73" s="402"/>
      <c r="C73" s="395"/>
      <c r="D73" s="395"/>
      <c r="E73" s="395"/>
      <c r="F73" s="403"/>
      <c r="G73" s="395"/>
      <c r="H73" s="395"/>
      <c r="I73" s="384"/>
    </row>
    <row r="250" spans="1:1" x14ac:dyDescent="0.3">
      <c r="A250" s="6">
        <v>0</v>
      </c>
    </row>
  </sheetData>
  <sheetProtection password="F258" sheet="1" objects="1" scenarios="1" formatCells="0" formatColumn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artesunate</vt:lpstr>
      <vt:lpstr>sodium bicarbonate</vt:lpstr>
      <vt:lpstr>sodium chloride</vt:lpstr>
      <vt:lpstr>artesunate!Print_Area</vt:lpstr>
      <vt:lpstr>'sodium bicarbonate'!Print_Area</vt:lpstr>
      <vt:lpstr>'sodium 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cp:lastPrinted>2016-11-07T09:22:33Z</cp:lastPrinted>
  <dcterms:created xsi:type="dcterms:W3CDTF">2005-07-05T10:19:27Z</dcterms:created>
  <dcterms:modified xsi:type="dcterms:W3CDTF">2016-11-08T10:18:32Z</dcterms:modified>
</cp:coreProperties>
</file>