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55" windowWidth="15015" windowHeight="7620" activeTab="2"/>
  </bookViews>
  <sheets>
    <sheet name="A" sheetId="5" r:id="rId1"/>
    <sheet name="Uniformity" sheetId="4" r:id="rId2"/>
    <sheet name="SST" sheetId="1" r:id="rId3"/>
    <sheet name="UoC &amp; D" sheetId="2" r:id="rId4"/>
  </sheets>
  <externalReferences>
    <externalReference r:id="rId5"/>
  </externalReference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30" i="5" l="1"/>
  <c r="B34" i="5"/>
  <c r="D44" i="5" s="1"/>
  <c r="D45" i="5" s="1"/>
  <c r="D42" i="5"/>
  <c r="F42" i="5"/>
  <c r="B45" i="5"/>
  <c r="D48" i="5" s="1"/>
  <c r="B55" i="5"/>
  <c r="C56" i="5"/>
  <c r="B57" i="5"/>
  <c r="B68" i="5"/>
  <c r="B69" i="5" s="1"/>
  <c r="C76" i="5"/>
  <c r="B79" i="5"/>
  <c r="B80" i="5"/>
  <c r="B81" i="5"/>
  <c r="B83" i="5"/>
  <c r="B87" i="5"/>
  <c r="D97" i="5" s="1"/>
  <c r="D98" i="5" s="1"/>
  <c r="D99" i="5" s="1"/>
  <c r="D95" i="5"/>
  <c r="F95" i="5"/>
  <c r="I92" i="5" s="1"/>
  <c r="B98" i="5"/>
  <c r="B116" i="5"/>
  <c r="D100" i="5" s="1"/>
  <c r="D101" i="5" s="1"/>
  <c r="C124" i="5"/>
  <c r="C49" i="4"/>
  <c r="C46" i="4"/>
  <c r="D50" i="4" s="1"/>
  <c r="C45" i="4"/>
  <c r="D43" i="4"/>
  <c r="D41" i="4"/>
  <c r="D39" i="4"/>
  <c r="D37" i="4"/>
  <c r="D35" i="4"/>
  <c r="D33" i="4"/>
  <c r="D31" i="4"/>
  <c r="D29" i="4"/>
  <c r="D27" i="4"/>
  <c r="D25" i="4"/>
  <c r="C19" i="4"/>
  <c r="D46" i="5" l="1"/>
  <c r="I39" i="5"/>
  <c r="F44" i="5"/>
  <c r="F45" i="5" s="1"/>
  <c r="F46" i="5" s="1"/>
  <c r="E39" i="5"/>
  <c r="E41" i="5"/>
  <c r="E38" i="5"/>
  <c r="G41" i="5"/>
  <c r="E40" i="5"/>
  <c r="D49" i="5"/>
  <c r="E94" i="5"/>
  <c r="E91" i="5"/>
  <c r="E93" i="5"/>
  <c r="E92" i="5"/>
  <c r="D102" i="5"/>
  <c r="F97" i="5"/>
  <c r="F98" i="5" s="1"/>
  <c r="F99" i="5" s="1"/>
  <c r="D24" i="4"/>
  <c r="D28" i="4"/>
  <c r="D32" i="4"/>
  <c r="D36" i="4"/>
  <c r="D40" i="4"/>
  <c r="D49" i="4"/>
  <c r="C50" i="4"/>
  <c r="D26" i="4"/>
  <c r="D30" i="4"/>
  <c r="D34" i="4"/>
  <c r="D38" i="4"/>
  <c r="D42" i="4"/>
  <c r="B49" i="4"/>
  <c r="C129" i="2"/>
  <c r="B125" i="2"/>
  <c r="D109" i="2" s="1"/>
  <c r="B107" i="2"/>
  <c r="F104" i="2"/>
  <c r="D104" i="2"/>
  <c r="G103" i="2"/>
  <c r="E103" i="2"/>
  <c r="B96" i="2"/>
  <c r="F106" i="2" s="1"/>
  <c r="F107" i="2" s="1"/>
  <c r="B90" i="2"/>
  <c r="B91" i="2"/>
  <c r="C74" i="2"/>
  <c r="G68" i="2"/>
  <c r="E68" i="2"/>
  <c r="E67" i="2"/>
  <c r="G67" i="2" s="1"/>
  <c r="B67" i="2"/>
  <c r="E66" i="2"/>
  <c r="G66" i="2" s="1"/>
  <c r="G65" i="2"/>
  <c r="E65" i="2"/>
  <c r="E64" i="2"/>
  <c r="G64" i="2" s="1"/>
  <c r="E63" i="2"/>
  <c r="E62" i="2"/>
  <c r="G62" i="2" s="1"/>
  <c r="E61" i="2"/>
  <c r="G61" i="2" s="1"/>
  <c r="G60" i="2"/>
  <c r="E60" i="2"/>
  <c r="E59" i="2"/>
  <c r="G59" i="2" s="1"/>
  <c r="C56" i="2"/>
  <c r="B55" i="2"/>
  <c r="D48" i="2"/>
  <c r="D49" i="2" s="1"/>
  <c r="B45" i="2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40" i="5" l="1"/>
  <c r="G39" i="5"/>
  <c r="G38" i="5"/>
  <c r="G91" i="5"/>
  <c r="G92" i="5"/>
  <c r="G93" i="5"/>
  <c r="G94" i="5"/>
  <c r="E42" i="5"/>
  <c r="E95" i="5"/>
  <c r="G63" i="2"/>
  <c r="G72" i="2" s="1"/>
  <c r="F45" i="2"/>
  <c r="E70" i="2"/>
  <c r="E72" i="2"/>
  <c r="G70" i="2"/>
  <c r="G74" i="2" s="1"/>
  <c r="F108" i="2"/>
  <c r="D110" i="2"/>
  <c r="D44" i="2"/>
  <c r="D45" i="2" s="1"/>
  <c r="D106" i="2"/>
  <c r="D107" i="2" s="1"/>
  <c r="D50" i="5" l="1"/>
  <c r="D51" i="5" s="1"/>
  <c r="G42" i="5"/>
  <c r="D52" i="5"/>
  <c r="D103" i="5"/>
  <c r="E110" i="5" s="1"/>
  <c r="F110" i="5" s="1"/>
  <c r="G95" i="5"/>
  <c r="D105" i="5"/>
  <c r="G63" i="5"/>
  <c r="H63" i="5" s="1"/>
  <c r="G65" i="5"/>
  <c r="H65" i="5" s="1"/>
  <c r="G67" i="5"/>
  <c r="H67" i="5" s="1"/>
  <c r="G62" i="5"/>
  <c r="H62" i="5" s="1"/>
  <c r="G64" i="5"/>
  <c r="H64" i="5" s="1"/>
  <c r="G71" i="5"/>
  <c r="H71" i="5" s="1"/>
  <c r="G68" i="5"/>
  <c r="H68" i="5" s="1"/>
  <c r="F65" i="2"/>
  <c r="F68" i="2"/>
  <c r="F63" i="2"/>
  <c r="F67" i="2"/>
  <c r="F66" i="2"/>
  <c r="F61" i="2"/>
  <c r="F64" i="2"/>
  <c r="C81" i="2"/>
  <c r="F62" i="2"/>
  <c r="F59" i="2"/>
  <c r="E71" i="2"/>
  <c r="F60" i="2"/>
  <c r="D46" i="2"/>
  <c r="E39" i="2"/>
  <c r="E38" i="2"/>
  <c r="E40" i="2"/>
  <c r="F46" i="2"/>
  <c r="G40" i="2"/>
  <c r="G39" i="2"/>
  <c r="G38" i="2"/>
  <c r="G71" i="2"/>
  <c r="C82" i="2"/>
  <c r="C79" i="2"/>
  <c r="D111" i="2"/>
  <c r="G101" i="2"/>
  <c r="G102" i="2"/>
  <c r="G100" i="2"/>
  <c r="D108" i="2"/>
  <c r="E100" i="2"/>
  <c r="E101" i="2"/>
  <c r="E102" i="2"/>
  <c r="G69" i="5" l="1"/>
  <c r="H69" i="5" s="1"/>
  <c r="G60" i="5"/>
  <c r="H60" i="5" s="1"/>
  <c r="G66" i="5"/>
  <c r="H66" i="5" s="1"/>
  <c r="G70" i="5"/>
  <c r="H70" i="5" s="1"/>
  <c r="G61" i="5"/>
  <c r="H61" i="5" s="1"/>
  <c r="E108" i="5"/>
  <c r="E113" i="5"/>
  <c r="F113" i="5" s="1"/>
  <c r="E111" i="5"/>
  <c r="F111" i="5" s="1"/>
  <c r="D104" i="5"/>
  <c r="E112" i="5"/>
  <c r="F112" i="5" s="1"/>
  <c r="E109" i="5"/>
  <c r="F109" i="5" s="1"/>
  <c r="F108" i="5"/>
  <c r="F72" i="2"/>
  <c r="F70" i="2"/>
  <c r="F71" i="2" s="1"/>
  <c r="E42" i="2"/>
  <c r="D50" i="2"/>
  <c r="D51" i="2" s="1"/>
  <c r="D52" i="2"/>
  <c r="G42" i="2"/>
  <c r="C83" i="2"/>
  <c r="G104" i="2"/>
  <c r="D112" i="2"/>
  <c r="D114" i="2"/>
  <c r="E104" i="2"/>
  <c r="G74" i="5" l="1"/>
  <c r="G72" i="5"/>
  <c r="G73" i="5" s="1"/>
  <c r="E120" i="5"/>
  <c r="E119" i="5"/>
  <c r="E115" i="5"/>
  <c r="E116" i="5" s="1"/>
  <c r="E117" i="5"/>
  <c r="H72" i="5"/>
  <c r="G76" i="5" s="1"/>
  <c r="H74" i="5"/>
  <c r="F117" i="5"/>
  <c r="F120" i="5"/>
  <c r="F125" i="5"/>
  <c r="F115" i="5"/>
  <c r="G124" i="5" s="1"/>
  <c r="F119" i="5"/>
  <c r="D125" i="5"/>
  <c r="D113" i="2"/>
  <c r="E121" i="2"/>
  <c r="F121" i="2" s="1"/>
  <c r="E119" i="2"/>
  <c r="F119" i="2" s="1"/>
  <c r="E122" i="2"/>
  <c r="F122" i="2" s="1"/>
  <c r="E118" i="2"/>
  <c r="F118" i="2" s="1"/>
  <c r="E117" i="2"/>
  <c r="F117" i="2" s="1"/>
  <c r="E120" i="2"/>
  <c r="F120" i="2" s="1"/>
  <c r="F116" i="5" l="1"/>
  <c r="H73" i="5"/>
  <c r="F124" i="2"/>
  <c r="G129" i="2" s="1"/>
  <c r="F126" i="2"/>
  <c r="F125" i="2"/>
</calcChain>
</file>

<file path=xl/sharedStrings.xml><?xml version="1.0" encoding="utf-8"?>
<sst xmlns="http://schemas.openxmlformats.org/spreadsheetml/2006/main" count="402" uniqueCount="158">
  <si>
    <t>HPLC System Suitability Report</t>
  </si>
  <si>
    <t>Analysis Data</t>
  </si>
  <si>
    <t>Assay</t>
  </si>
  <si>
    <t>Sample(s)</t>
  </si>
  <si>
    <t>Reference Substance:</t>
  </si>
  <si>
    <t>CARVEDILOL 6.25 MG TABLETS</t>
  </si>
  <si>
    <t>% age Purity:</t>
  </si>
  <si>
    <t>NDQD201610180</t>
  </si>
  <si>
    <t>Weight (mg):</t>
  </si>
  <si>
    <t>CARVRDILOL</t>
  </si>
  <si>
    <t>Standard Conc (mg/mL):</t>
  </si>
  <si>
    <t>Each tablet contains Carvedilol 6.25 mg</t>
  </si>
  <si>
    <t>2016-10-19 14:30:56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</si>
  <si>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</si>
  <si>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</si>
  <si>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</si>
  <si>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</si>
  <si>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</si>
  <si>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</si>
  <si>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</si>
  <si>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</si>
  <si>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</si>
  <si>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</si>
  <si>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</si>
  <si>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</si>
  <si>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</si>
  <si>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</si>
  <si>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</si>
  <si>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</si>
  <si>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</si>
  <si>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</si>
  <si>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</si>
  <si>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</si>
  <si>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</si>
  <si>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</si>
  <si>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</si>
  <si>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</si>
  <si>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</si>
  <si>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</si>
  <si>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</si>
  <si>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</si>
  <si>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</si>
  <si>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</si>
  <si>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</si>
  <si>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</si>
  <si>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</si>
  <si>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</si>
  <si>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</si>
  <si>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</si>
  <si>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</si>
  <si>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</si>
  <si>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</si>
  <si>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</si>
  <si>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</si>
  <si>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</si>
  <si>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</si>
  <si>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</si>
  <si>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</si>
  <si>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</si>
  <si>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</si>
  <si>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</si>
  <si>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</si>
  <si>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</si>
  <si>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</si>
  <si>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</si>
  <si>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</si>
  <si>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</si>
  <si>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</si>
  <si>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</si>
  <si>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</si>
  <si>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</si>
  <si>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</si>
  <si>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</si>
  <si>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</si>
  <si>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</si>
  <si>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</si>
  <si>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</si>
  <si>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</si>
  <si>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</si>
  <si>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</si>
  <si>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</si>
  <si>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</si>
  <si>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</si>
  <si>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</si>
  <si>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</si>
  <si>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</si>
  <si>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</si>
  <si>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</si>
  <si>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</si>
  <si>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</si>
  <si>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</si>
  <si>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</si>
  <si>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</si>
  <si>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</si>
  <si>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</si>
  <si>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</si>
  <si>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</si>
  <si>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</si>
  <si>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</si>
  <si>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</si>
  <si>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</si>
  <si>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</si>
  <si>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</si>
  <si>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</si>
  <si>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</si>
  <si>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</si>
  <si>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</si>
  <si>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</si>
  <si>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</si>
  <si>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</si>
  <si>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</si>
  <si>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</si>
  <si>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</si>
  <si>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</si>
  <si>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</si>
  <si>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</si>
  <si>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</si>
  <si>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CARVERDILOL</t>
  </si>
  <si>
    <t>CARVEDILOL</t>
  </si>
  <si>
    <t>C37-2</t>
  </si>
  <si>
    <t>Carvedilol</t>
  </si>
  <si>
    <t>c37-2</t>
  </si>
  <si>
    <t>Uniformity of Weight Test Report</t>
  </si>
  <si>
    <t>Uniformity of weight</t>
  </si>
  <si>
    <t>Tablet weight (mg)</t>
  </si>
  <si>
    <t>% Deviation</t>
  </si>
  <si>
    <t>Total</t>
  </si>
  <si>
    <t>% Deviation from mean</t>
  </si>
  <si>
    <t>Maximum</t>
  </si>
  <si>
    <t>Minimum</t>
  </si>
  <si>
    <t>Range:</t>
  </si>
  <si>
    <t>Comment:</t>
  </si>
  <si>
    <t>Maximum:</t>
  </si>
  <si>
    <t>Minimum:</t>
  </si>
  <si>
    <t>Range</t>
  </si>
  <si>
    <t>Unit No.</t>
  </si>
  <si>
    <t>Average Normalised Peak Area:</t>
  </si>
  <si>
    <t>Desired Concentration (mg/mL):</t>
  </si>
  <si>
    <t>Conc (mg/mL):</t>
  </si>
  <si>
    <t>Purity correction:</t>
  </si>
  <si>
    <t xml:space="preserve">Std Response Deviation </t>
  </si>
  <si>
    <t>Initial Standard dilution volume (mL):</t>
  </si>
  <si>
    <t xml:space="preserve">Enter molecular mass of compound in salt form. If salt convertion is NOT needed, enter 1. </t>
  </si>
  <si>
    <t xml:space="preserve">Enter molecular mass of compound in free base form. If salt convertion is NOT needed, enter 1. </t>
  </si>
  <si>
    <t>Desired Sample Weight (mg):</t>
  </si>
  <si>
    <t>Assay Smp C</t>
  </si>
  <si>
    <t>Assay Smp B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</si>
  <si>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</si>
  <si>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</si>
  <si>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% Assay</t>
  </si>
  <si>
    <t>Determined Amt (mg)</t>
  </si>
  <si>
    <t>Powder Weight (mg)</t>
  </si>
  <si>
    <t>Initial Sample dilution Volume (mL):</t>
  </si>
  <si>
    <t>Average Tablet Content Weight (mg):</t>
  </si>
  <si>
    <t>Each Tablet contains</t>
  </si>
  <si>
    <t>Mass of WRS as free base (mg):</t>
  </si>
  <si>
    <t>Mass of RS (mg):</t>
  </si>
  <si>
    <t>carvedilol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</si>
</sst>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  <numFmt numFmtId="171" formatCode="[$-409]d/mmm/yy;@"/>
    <numFmt numFmtId="172" formatCode="0\ &quot;%&quot;"/>
    <numFmt numFmtId="173" formatCode="0.00\ &quot;%&quot;"/>
    <numFmt numFmtId="174" formatCode="0.0\ &quot;mg&quot;"/>
    <numFmt numFmtId="175" formatCode="dd\-mmm\-yyyy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b/>
      <sz val="36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0" fillId="2" borderId="0"/>
    <xf numFmtId="0" fontId="20" fillId="2" borderId="0"/>
  </cellStyleXfs>
  <cellXfs count="5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1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2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4" xfId="0" applyNumberFormat="1" applyFont="1" applyFill="1" applyBorder="1" applyAlignment="1">
      <alignment horizontal="center"/>
    </xf>
    <xf numFmtId="2" fontId="11" fillId="5" borderId="44" xfId="0" applyNumberFormat="1" applyFont="1" applyFill="1" applyBorder="1" applyAlignment="1">
      <alignment horizontal="center"/>
    </xf>
    <xf numFmtId="10" fontId="9" fillId="6" borderId="44" xfId="0" applyNumberFormat="1" applyFont="1" applyFill="1" applyBorder="1" applyAlignment="1">
      <alignment horizontal="center"/>
    </xf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45" xfId="0" applyNumberFormat="1" applyFont="1" applyFill="1" applyBorder="1" applyAlignment="1">
      <alignment horizontal="center"/>
    </xf>
    <xf numFmtId="2" fontId="11" fillId="5" borderId="4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5" fillId="2" borderId="0" xfId="0" applyFont="1" applyFill="1"/>
    <xf numFmtId="0" fontId="11" fillId="3" borderId="16" xfId="0" applyFont="1" applyFill="1" applyBorder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 applyProtection="1">
      <alignment horizontal="center"/>
      <protection locked="0"/>
    </xf>
    <xf numFmtId="168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11" fillId="3" borderId="49" xfId="0" applyFont="1" applyFill="1" applyBorder="1" applyAlignment="1" applyProtection="1">
      <alignment horizontal="center"/>
      <protection locked="0"/>
    </xf>
    <xf numFmtId="2" fontId="8" fillId="6" borderId="44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7" xfId="0" applyFont="1" applyFill="1" applyBorder="1" applyAlignment="1">
      <alignment horizontal="right"/>
    </xf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10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9" fillId="7" borderId="34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16" xfId="0" applyFont="1" applyFill="1" applyBorder="1" applyAlignment="1">
      <alignment horizontal="center" wrapText="1"/>
    </xf>
    <xf numFmtId="168" fontId="11" fillId="3" borderId="23" xfId="0" applyNumberFormat="1" applyFont="1" applyFill="1" applyBorder="1" applyAlignment="1" applyProtection="1">
      <alignment horizontal="center"/>
      <protection locked="0"/>
    </xf>
    <xf numFmtId="2" fontId="8" fillId="2" borderId="18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168" fontId="11" fillId="3" borderId="26" xfId="0" applyNumberFormat="1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4" xfId="0" applyFont="1" applyFill="1" applyBorder="1" applyAlignment="1" applyProtection="1">
      <alignment horizontal="center" wrapText="1"/>
      <protection locked="0"/>
    </xf>
    <xf numFmtId="0" fontId="10" fillId="3" borderId="3" xfId="0" applyFont="1" applyFill="1" applyBorder="1" applyAlignment="1" applyProtection="1">
      <alignment horizontal="center" wrapText="1"/>
      <protection locked="0"/>
    </xf>
    <xf numFmtId="0" fontId="10" fillId="3" borderId="42" xfId="0" applyFont="1" applyFill="1" applyBorder="1" applyAlignment="1" applyProtection="1">
      <alignment horizontal="center" wrapText="1"/>
      <protection locked="0"/>
    </xf>
    <xf numFmtId="0" fontId="20" fillId="2" borderId="0" xfId="1" applyFill="1"/>
    <xf numFmtId="0" fontId="4" fillId="2" borderId="0" xfId="1" applyFont="1" applyFill="1"/>
    <xf numFmtId="0" fontId="6" fillId="2" borderId="0" xfId="1" applyFont="1" applyFill="1"/>
    <xf numFmtId="0" fontId="6" fillId="2" borderId="0" xfId="1" applyFont="1" applyFill="1" applyAlignment="1">
      <alignment horizontal="center"/>
    </xf>
    <xf numFmtId="0" fontId="1" fillId="2" borderId="0" xfId="1" applyFont="1" applyFill="1"/>
    <xf numFmtId="0" fontId="21" fillId="2" borderId="0" xfId="1" applyFont="1" applyFill="1" applyAlignment="1">
      <alignment wrapText="1"/>
    </xf>
    <xf numFmtId="171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1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2" fillId="2" borderId="0" xfId="1" applyFont="1" applyFill="1"/>
    <xf numFmtId="164" fontId="1" fillId="2" borderId="0" xfId="1" applyNumberFormat="1" applyFont="1" applyFill="1"/>
    <xf numFmtId="164" fontId="5" fillId="2" borderId="58" xfId="1" applyNumberFormat="1" applyFont="1" applyFill="1" applyBorder="1" applyAlignment="1">
      <alignment horizontal="center" wrapText="1"/>
    </xf>
    <xf numFmtId="0" fontId="5" fillId="2" borderId="58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59" xfId="1" applyNumberFormat="1" applyFont="1" applyFill="1" applyBorder="1" applyProtection="1">
      <protection locked="0"/>
    </xf>
    <xf numFmtId="10" fontId="6" fillId="2" borderId="37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59" xfId="1" applyNumberFormat="1" applyFont="1" applyFill="1" applyBorder="1" applyAlignment="1">
      <alignment horizontal="center"/>
    </xf>
    <xf numFmtId="2" fontId="6" fillId="3" borderId="36" xfId="1" applyNumberFormat="1" applyFont="1" applyFill="1" applyBorder="1" applyProtection="1">
      <protection locked="0"/>
    </xf>
    <xf numFmtId="10" fontId="6" fillId="2" borderId="36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58" xfId="1" applyFont="1" applyFill="1" applyBorder="1" applyAlignment="1">
      <alignment horizontal="right" vertical="center"/>
    </xf>
    <xf numFmtId="170" fontId="6" fillId="2" borderId="58" xfId="1" applyNumberFormat="1" applyFont="1" applyFill="1" applyBorder="1" applyAlignment="1">
      <alignment horizontal="center" vertical="center"/>
    </xf>
    <xf numFmtId="170" fontId="6" fillId="2" borderId="0" xfId="1" applyNumberFormat="1" applyFont="1" applyFill="1" applyAlignment="1">
      <alignment horizontal="center"/>
    </xf>
    <xf numFmtId="164" fontId="5" fillId="2" borderId="58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3" fillId="2" borderId="0" xfId="1" applyNumberFormat="1" applyFont="1" applyFill="1"/>
    <xf numFmtId="0" fontId="5" fillId="2" borderId="58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32" xfId="1" applyNumberFormat="1" applyFont="1" applyFill="1" applyBorder="1" applyAlignment="1">
      <alignment horizontal="center"/>
    </xf>
    <xf numFmtId="2" fontId="5" fillId="2" borderId="58" xfId="1" applyNumberFormat="1" applyFont="1" applyFill="1" applyBorder="1" applyAlignment="1">
      <alignment horizontal="center" vertical="center"/>
    </xf>
    <xf numFmtId="165" fontId="5" fillId="2" borderId="34" xfId="1" applyNumberFormat="1" applyFont="1" applyFill="1" applyBorder="1" applyAlignment="1">
      <alignment horizontal="center"/>
    </xf>
    <xf numFmtId="0" fontId="6" fillId="2" borderId="9" xfId="1" applyFont="1" applyFill="1" applyBorder="1"/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0" fillId="2" borderId="0" xfId="2" applyFill="1"/>
    <xf numFmtId="0" fontId="2" fillId="2" borderId="0" xfId="2" applyFont="1" applyFill="1"/>
    <xf numFmtId="0" fontId="8" fillId="2" borderId="0" xfId="2" applyFont="1" applyFill="1"/>
    <xf numFmtId="0" fontId="8" fillId="2" borderId="0" xfId="2" applyFont="1" applyFill="1" applyAlignment="1">
      <alignment horizontal="center"/>
    </xf>
    <xf numFmtId="2" fontId="8" fillId="2" borderId="0" xfId="2" applyNumberFormat="1" applyFont="1" applyFill="1" applyAlignment="1">
      <alignment horizontal="center"/>
    </xf>
    <xf numFmtId="0" fontId="8" fillId="2" borderId="11" xfId="2" applyFont="1" applyFill="1" applyBorder="1"/>
    <xf numFmtId="0" fontId="9" fillId="2" borderId="11" xfId="2" applyFont="1" applyFill="1" applyBorder="1"/>
    <xf numFmtId="0" fontId="9" fillId="2" borderId="0" xfId="2" applyFont="1" applyFill="1" applyAlignment="1">
      <alignment horizontal="right"/>
    </xf>
    <xf numFmtId="0" fontId="8" fillId="2" borderId="7" xfId="2" applyFont="1" applyFill="1" applyBorder="1"/>
    <xf numFmtId="0" fontId="8" fillId="2" borderId="1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8" fillId="2" borderId="9" xfId="2" applyFont="1" applyFill="1" applyBorder="1"/>
    <xf numFmtId="0" fontId="14" fillId="2" borderId="9" xfId="2" applyFont="1" applyFill="1" applyBorder="1" applyAlignment="1">
      <alignment horizontal="left" vertical="center" wrapText="1"/>
    </xf>
    <xf numFmtId="165" fontId="11" fillId="2" borderId="0" xfId="2" applyNumberFormat="1" applyFont="1" applyFill="1" applyAlignment="1">
      <alignment horizontal="center"/>
    </xf>
    <xf numFmtId="172" fontId="24" fillId="2" borderId="0" xfId="2" applyNumberFormat="1" applyFont="1" applyFill="1" applyAlignment="1">
      <alignment horizontal="center"/>
    </xf>
    <xf numFmtId="0" fontId="8" fillId="2" borderId="0" xfId="2" applyFont="1" applyFill="1" applyAlignment="1">
      <alignment horizontal="right"/>
    </xf>
    <xf numFmtId="0" fontId="14" fillId="2" borderId="0" xfId="2" applyFont="1" applyFill="1" applyAlignment="1">
      <alignment horizontal="left" vertical="center" wrapText="1"/>
    </xf>
    <xf numFmtId="0" fontId="14" fillId="2" borderId="0" xfId="2" applyFont="1" applyFill="1" applyAlignment="1">
      <alignment horizontal="right" vertical="center" wrapText="1"/>
    </xf>
    <xf numFmtId="169" fontId="11" fillId="7" borderId="60" xfId="2" applyNumberFormat="1" applyFont="1" applyFill="1" applyBorder="1" applyAlignment="1">
      <alignment horizontal="center"/>
    </xf>
    <xf numFmtId="2" fontId="11" fillId="7" borderId="60" xfId="2" applyNumberFormat="1" applyFont="1" applyFill="1" applyBorder="1" applyAlignment="1">
      <alignment horizontal="center"/>
    </xf>
    <xf numFmtId="0" fontId="8" fillId="2" borderId="36" xfId="2" applyFont="1" applyFill="1" applyBorder="1" applyAlignment="1">
      <alignment horizontal="right"/>
    </xf>
    <xf numFmtId="169" fontId="11" fillId="6" borderId="61" xfId="2" applyNumberFormat="1" applyFont="1" applyFill="1" applyBorder="1" applyAlignment="1">
      <alignment horizontal="center"/>
    </xf>
    <xf numFmtId="2" fontId="11" fillId="6" borderId="61" xfId="2" applyNumberFormat="1" applyFont="1" applyFill="1" applyBorder="1" applyAlignment="1">
      <alignment horizontal="center"/>
    </xf>
    <xf numFmtId="0" fontId="8" fillId="2" borderId="59" xfId="2" applyFont="1" applyFill="1" applyBorder="1" applyAlignment="1">
      <alignment horizontal="right"/>
    </xf>
    <xf numFmtId="0" fontId="8" fillId="2" borderId="37" xfId="2" applyFont="1" applyFill="1" applyBorder="1"/>
    <xf numFmtId="10" fontId="8" fillId="2" borderId="0" xfId="2" applyNumberFormat="1" applyFont="1" applyFill="1" applyAlignment="1">
      <alignment horizontal="center"/>
    </xf>
    <xf numFmtId="0" fontId="11" fillId="7" borderId="62" xfId="2" applyFont="1" applyFill="1" applyBorder="1" applyAlignment="1">
      <alignment horizontal="center"/>
    </xf>
    <xf numFmtId="0" fontId="11" fillId="7" borderId="20" xfId="2" applyFont="1" applyFill="1" applyBorder="1" applyAlignment="1">
      <alignment horizontal="center"/>
    </xf>
    <xf numFmtId="0" fontId="8" fillId="2" borderId="34" xfId="2" applyFont="1" applyFill="1" applyBorder="1" applyAlignment="1">
      <alignment horizontal="right"/>
    </xf>
    <xf numFmtId="0" fontId="8" fillId="2" borderId="38" xfId="2" applyFont="1" applyFill="1" applyBorder="1"/>
    <xf numFmtId="10" fontId="11" fillId="6" borderId="44" xfId="2" applyNumberFormat="1" applyFont="1" applyFill="1" applyBorder="1" applyAlignment="1">
      <alignment horizontal="center"/>
    </xf>
    <xf numFmtId="10" fontId="11" fillId="6" borderId="61" xfId="2" applyNumberFormat="1" applyFont="1" applyFill="1" applyBorder="1" applyAlignment="1">
      <alignment horizontal="center"/>
    </xf>
    <xf numFmtId="0" fontId="8" fillId="2" borderId="14" xfId="2" applyFont="1" applyFill="1" applyBorder="1"/>
    <xf numFmtId="0" fontId="8" fillId="2" borderId="22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right"/>
    </xf>
    <xf numFmtId="169" fontId="11" fillId="7" borderId="49" xfId="2" applyNumberFormat="1" applyFont="1" applyFill="1" applyBorder="1" applyAlignment="1">
      <alignment horizontal="center"/>
    </xf>
    <xf numFmtId="2" fontId="11" fillId="7" borderId="56" xfId="2" applyNumberFormat="1" applyFont="1" applyFill="1" applyBorder="1" applyAlignment="1">
      <alignment horizontal="center"/>
    </xf>
    <xf numFmtId="168" fontId="8" fillId="2" borderId="32" xfId="2" applyNumberFormat="1" applyFont="1" applyFill="1" applyBorder="1" applyAlignment="1">
      <alignment horizontal="right"/>
    </xf>
    <xf numFmtId="0" fontId="8" fillId="2" borderId="14" xfId="2" applyFont="1" applyFill="1" applyBorder="1" applyAlignment="1">
      <alignment horizontal="center"/>
    </xf>
    <xf numFmtId="0" fontId="11" fillId="3" borderId="22" xfId="2" applyFont="1" applyFill="1" applyBorder="1" applyAlignment="1" applyProtection="1">
      <alignment horizontal="center"/>
      <protection locked="0"/>
    </xf>
    <xf numFmtId="173" fontId="8" fillId="2" borderId="22" xfId="2" applyNumberFormat="1" applyFont="1" applyFill="1" applyBorder="1" applyAlignment="1">
      <alignment horizontal="center"/>
    </xf>
    <xf numFmtId="173" fontId="8" fillId="2" borderId="43" xfId="2" applyNumberFormat="1" applyFont="1" applyFill="1" applyBorder="1" applyAlignment="1">
      <alignment horizontal="center"/>
    </xf>
    <xf numFmtId="170" fontId="8" fillId="2" borderId="36" xfId="2" applyNumberFormat="1" applyFont="1" applyFill="1" applyBorder="1" applyAlignment="1">
      <alignment horizontal="center"/>
    </xf>
    <xf numFmtId="1" fontId="11" fillId="3" borderId="36" xfId="2" applyNumberFormat="1" applyFont="1" applyFill="1" applyBorder="1" applyAlignment="1" applyProtection="1">
      <alignment horizontal="center"/>
      <protection locked="0"/>
    </xf>
    <xf numFmtId="0" fontId="8" fillId="2" borderId="36" xfId="2" applyFont="1" applyFill="1" applyBorder="1" applyAlignment="1">
      <alignment horizontal="center"/>
    </xf>
    <xf numFmtId="170" fontId="8" fillId="2" borderId="59" xfId="2" applyNumberFormat="1" applyFont="1" applyFill="1" applyBorder="1" applyAlignment="1">
      <alignment horizontal="center"/>
    </xf>
    <xf numFmtId="1" fontId="11" fillId="3" borderId="59" xfId="2" applyNumberFormat="1" applyFont="1" applyFill="1" applyBorder="1" applyAlignment="1" applyProtection="1">
      <alignment horizontal="center"/>
      <protection locked="0"/>
    </xf>
    <xf numFmtId="0" fontId="8" fillId="2" borderId="59" xfId="2" applyFont="1" applyFill="1" applyBorder="1" applyAlignment="1">
      <alignment horizontal="center"/>
    </xf>
    <xf numFmtId="173" fontId="8" fillId="2" borderId="16" xfId="2" applyNumberFormat="1" applyFont="1" applyFill="1" applyBorder="1" applyAlignment="1">
      <alignment horizontal="center"/>
    </xf>
    <xf numFmtId="170" fontId="8" fillId="2" borderId="37" xfId="2" applyNumberFormat="1" applyFont="1" applyFill="1" applyBorder="1" applyAlignment="1">
      <alignment horizontal="center"/>
    </xf>
    <xf numFmtId="1" fontId="11" fillId="3" borderId="37" xfId="2" applyNumberFormat="1" applyFont="1" applyFill="1" applyBorder="1" applyAlignment="1" applyProtection="1">
      <alignment horizontal="center"/>
      <protection locked="0"/>
    </xf>
    <xf numFmtId="0" fontId="8" fillId="2" borderId="37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 wrapText="1"/>
    </xf>
    <xf numFmtId="0" fontId="9" fillId="2" borderId="37" xfId="2" applyFont="1" applyFill="1" applyBorder="1" applyAlignment="1">
      <alignment horizontal="center"/>
    </xf>
    <xf numFmtId="0" fontId="11" fillId="3" borderId="16" xfId="2" applyFont="1" applyFill="1" applyBorder="1" applyAlignment="1" applyProtection="1">
      <alignment horizontal="center"/>
      <protection locked="0"/>
    </xf>
    <xf numFmtId="0" fontId="8" fillId="2" borderId="12" xfId="2" applyFont="1" applyFill="1" applyBorder="1" applyAlignment="1">
      <alignment horizontal="right"/>
    </xf>
    <xf numFmtId="0" fontId="3" fillId="2" borderId="0" xfId="2" applyFont="1" applyFill="1"/>
    <xf numFmtId="0" fontId="2" fillId="2" borderId="0" xfId="2" applyFont="1" applyFill="1" applyAlignment="1">
      <alignment horizontal="center"/>
    </xf>
    <xf numFmtId="168" fontId="8" fillId="2" borderId="0" xfId="2" applyNumberFormat="1" applyFont="1" applyFill="1" applyAlignment="1">
      <alignment horizontal="center"/>
    </xf>
    <xf numFmtId="0" fontId="9" fillId="7" borderId="34" xfId="2" applyFont="1" applyFill="1" applyBorder="1" applyAlignment="1">
      <alignment horizontal="center"/>
    </xf>
    <xf numFmtId="10" fontId="9" fillId="6" borderId="33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right"/>
    </xf>
    <xf numFmtId="2" fontId="2" fillId="2" borderId="0" xfId="2" applyNumberFormat="1" applyFont="1" applyFill="1" applyAlignment="1">
      <alignment horizontal="center"/>
    </xf>
    <xf numFmtId="168" fontId="9" fillId="7" borderId="32" xfId="2" applyNumberFormat="1" applyFont="1" applyFill="1" applyBorder="1" applyAlignment="1">
      <alignment horizontal="center"/>
    </xf>
    <xf numFmtId="0" fontId="8" fillId="2" borderId="32" xfId="2" applyFont="1" applyFill="1" applyBorder="1" applyAlignment="1">
      <alignment horizontal="right"/>
    </xf>
    <xf numFmtId="0" fontId="9" fillId="2" borderId="0" xfId="2" applyFont="1" applyFill="1" applyAlignment="1">
      <alignment horizontal="center" wrapText="1"/>
    </xf>
    <xf numFmtId="2" fontId="8" fillId="7" borderId="19" xfId="2" applyNumberFormat="1" applyFont="1" applyFill="1" applyBorder="1" applyAlignment="1">
      <alignment horizontal="center"/>
    </xf>
    <xf numFmtId="0" fontId="8" fillId="2" borderId="50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2" fontId="8" fillId="6" borderId="44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170" fontId="8" fillId="7" borderId="44" xfId="2" applyNumberFormat="1" applyFont="1" applyFill="1" applyBorder="1" applyAlignment="1">
      <alignment horizontal="center"/>
    </xf>
    <xf numFmtId="170" fontId="8" fillId="6" borderId="34" xfId="2" applyNumberFormat="1" applyFont="1" applyFill="1" applyBorder="1" applyAlignment="1">
      <alignment horizontal="center"/>
    </xf>
    <xf numFmtId="170" fontId="8" fillId="6" borderId="44" xfId="2" applyNumberFormat="1" applyFont="1" applyFill="1" applyBorder="1" applyAlignment="1">
      <alignment horizontal="center"/>
    </xf>
    <xf numFmtId="2" fontId="8" fillId="7" borderId="33" xfId="2" applyNumberFormat="1" applyFont="1" applyFill="1" applyBorder="1" applyAlignment="1">
      <alignment horizontal="center"/>
    </xf>
    <xf numFmtId="2" fontId="8" fillId="7" borderId="44" xfId="2" applyNumberFormat="1" applyFont="1" applyFill="1" applyBorder="1" applyAlignment="1">
      <alignment horizontal="center"/>
    </xf>
    <xf numFmtId="2" fontId="8" fillId="6" borderId="33" xfId="2" applyNumberFormat="1" applyFont="1" applyFill="1" applyBorder="1" applyAlignment="1">
      <alignment horizontal="center"/>
    </xf>
    <xf numFmtId="0" fontId="11" fillId="3" borderId="0" xfId="2" applyFont="1" applyFill="1" applyAlignment="1" applyProtection="1">
      <alignment horizontal="center"/>
      <protection locked="0"/>
    </xf>
    <xf numFmtId="0" fontId="11" fillId="3" borderId="32" xfId="2" applyFont="1" applyFill="1" applyBorder="1" applyAlignment="1" applyProtection="1">
      <alignment horizontal="center"/>
      <protection locked="0"/>
    </xf>
    <xf numFmtId="0" fontId="11" fillId="3" borderId="49" xfId="2" applyFont="1" applyFill="1" applyBorder="1" applyAlignment="1" applyProtection="1">
      <alignment horizontal="center"/>
      <protection locked="0"/>
    </xf>
    <xf numFmtId="0" fontId="8" fillId="2" borderId="63" xfId="2" applyFont="1" applyFill="1" applyBorder="1" applyAlignment="1">
      <alignment horizontal="right"/>
    </xf>
    <xf numFmtId="168" fontId="9" fillId="6" borderId="36" xfId="2" applyNumberFormat="1" applyFont="1" applyFill="1" applyBorder="1" applyAlignment="1">
      <alignment horizontal="center"/>
    </xf>
    <xf numFmtId="1" fontId="9" fillId="6" borderId="48" xfId="2" applyNumberFormat="1" applyFont="1" applyFill="1" applyBorder="1" applyAlignment="1">
      <alignment horizontal="center"/>
    </xf>
    <xf numFmtId="168" fontId="9" fillId="6" borderId="29" xfId="2" applyNumberFormat="1" applyFont="1" applyFill="1" applyBorder="1" applyAlignment="1">
      <alignment horizontal="center"/>
    </xf>
    <xf numFmtId="1" fontId="9" fillId="6" borderId="64" xfId="2" applyNumberFormat="1" applyFont="1" applyFill="1" applyBorder="1" applyAlignment="1">
      <alignment horizontal="center"/>
    </xf>
    <xf numFmtId="0" fontId="8" fillId="2" borderId="36" xfId="2" applyFont="1" applyFill="1" applyBorder="1"/>
    <xf numFmtId="168" fontId="8" fillId="2" borderId="27" xfId="2" applyNumberFormat="1" applyFont="1" applyFill="1" applyBorder="1" applyAlignment="1">
      <alignment horizontal="center"/>
    </xf>
    <xf numFmtId="168" fontId="11" fillId="3" borderId="25" xfId="2" applyNumberFormat="1" applyFont="1" applyFill="1" applyBorder="1" applyAlignment="1" applyProtection="1">
      <alignment horizontal="center"/>
      <protection locked="0"/>
    </xf>
    <xf numFmtId="168" fontId="8" fillId="2" borderId="26" xfId="2" applyNumberFormat="1" applyFont="1" applyFill="1" applyBorder="1" applyAlignment="1">
      <alignment horizontal="center"/>
    </xf>
    <xf numFmtId="0" fontId="11" fillId="3" borderId="25" xfId="2" applyFont="1" applyFill="1" applyBorder="1" applyAlignment="1" applyProtection="1">
      <alignment horizontal="center"/>
      <protection locked="0"/>
    </xf>
    <xf numFmtId="0" fontId="8" fillId="2" borderId="7" xfId="2" applyFont="1" applyFill="1" applyBorder="1" applyAlignment="1">
      <alignment horizontal="center"/>
    </xf>
    <xf numFmtId="168" fontId="8" fillId="2" borderId="15" xfId="2" applyNumberFormat="1" applyFont="1" applyFill="1" applyBorder="1" applyAlignment="1">
      <alignment horizontal="center"/>
    </xf>
    <xf numFmtId="0" fontId="11" fillId="3" borderId="14" xfId="2" applyFont="1" applyFill="1" applyBorder="1" applyAlignment="1" applyProtection="1">
      <alignment horizontal="center"/>
      <protection locked="0"/>
    </xf>
    <xf numFmtId="168" fontId="8" fillId="2" borderId="23" xfId="2" applyNumberFormat="1" applyFont="1" applyFill="1" applyBorder="1" applyAlignment="1">
      <alignment horizontal="center"/>
    </xf>
    <xf numFmtId="0" fontId="12" fillId="2" borderId="37" xfId="2" applyFont="1" applyFill="1" applyBorder="1"/>
    <xf numFmtId="168" fontId="8" fillId="2" borderId="19" xfId="2" applyNumberFormat="1" applyFont="1" applyFill="1" applyBorder="1" applyAlignment="1">
      <alignment horizontal="center"/>
    </xf>
    <xf numFmtId="0" fontId="11" fillId="3" borderId="21" xfId="2" applyFont="1" applyFill="1" applyBorder="1" applyAlignment="1" applyProtection="1">
      <alignment horizontal="center"/>
      <protection locked="0"/>
    </xf>
    <xf numFmtId="168" fontId="8" fillId="2" borderId="18" xfId="2" applyNumberFormat="1" applyFont="1" applyFill="1" applyBorder="1" applyAlignment="1">
      <alignment horizontal="center"/>
    </xf>
    <xf numFmtId="0" fontId="8" fillId="2" borderId="47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0" fontId="9" fillId="2" borderId="19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9" fillId="2" borderId="31" xfId="2" applyFont="1" applyFill="1" applyBorder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3" fillId="2" borderId="0" xfId="2" applyFont="1" applyFill="1" applyAlignment="1">
      <alignment horizontal="left"/>
    </xf>
    <xf numFmtId="0" fontId="5" fillId="2" borderId="1" xfId="2" applyFont="1" applyFill="1" applyBorder="1" applyAlignment="1">
      <alignment horizontal="center"/>
    </xf>
    <xf numFmtId="0" fontId="25" fillId="2" borderId="0" xfId="2" applyFont="1" applyFill="1" applyAlignment="1">
      <alignment vertical="center" wrapText="1"/>
    </xf>
    <xf numFmtId="167" fontId="9" fillId="2" borderId="0" xfId="2" applyNumberFormat="1" applyFont="1" applyFill="1" applyAlignment="1">
      <alignment horizontal="center"/>
    </xf>
    <xf numFmtId="2" fontId="9" fillId="2" borderId="0" xfId="2" applyNumberFormat="1" applyFont="1" applyFill="1" applyAlignment="1">
      <alignment horizontal="center"/>
    </xf>
    <xf numFmtId="2" fontId="11" fillId="3" borderId="0" xfId="2" applyNumberFormat="1" applyFont="1" applyFill="1" applyAlignment="1" applyProtection="1">
      <alignment horizontal="center"/>
      <protection locked="0"/>
    </xf>
    <xf numFmtId="0" fontId="15" fillId="2" borderId="0" xfId="2" applyFont="1" applyFill="1"/>
    <xf numFmtId="0" fontId="13" fillId="2" borderId="0" xfId="2" applyFont="1" applyFill="1"/>
    <xf numFmtId="0" fontId="9" fillId="2" borderId="0" xfId="2" applyFont="1" applyFill="1" applyAlignment="1">
      <alignment horizontal="center"/>
    </xf>
    <xf numFmtId="0" fontId="10" fillId="3" borderId="0" xfId="2" applyFont="1" applyFill="1" applyAlignment="1" applyProtection="1">
      <alignment horizontal="center"/>
      <protection locked="0"/>
    </xf>
    <xf numFmtId="0" fontId="11" fillId="7" borderId="60" xfId="2" applyFont="1" applyFill="1" applyBorder="1" applyAlignment="1">
      <alignment horizontal="center"/>
    </xf>
    <xf numFmtId="173" fontId="11" fillId="7" borderId="24" xfId="2" applyNumberFormat="1" applyFont="1" applyFill="1" applyBorder="1" applyAlignment="1">
      <alignment horizontal="center"/>
    </xf>
    <xf numFmtId="2" fontId="11" fillId="7" borderId="24" xfId="2" applyNumberFormat="1" applyFont="1" applyFill="1" applyBorder="1" applyAlignment="1">
      <alignment horizontal="center"/>
    </xf>
    <xf numFmtId="0" fontId="8" fillId="2" borderId="65" xfId="2" applyFont="1" applyFill="1" applyBorder="1" applyAlignment="1">
      <alignment horizontal="right"/>
    </xf>
    <xf numFmtId="173" fontId="8" fillId="2" borderId="36" xfId="2" applyNumberFormat="1" applyFont="1" applyFill="1" applyBorder="1" applyAlignment="1">
      <alignment horizontal="center" vertical="center"/>
    </xf>
    <xf numFmtId="170" fontId="8" fillId="2" borderId="38" xfId="2" applyNumberFormat="1" applyFont="1" applyFill="1" applyBorder="1" applyAlignment="1">
      <alignment horizontal="center"/>
    </xf>
    <xf numFmtId="0" fontId="11" fillId="3" borderId="38" xfId="2" applyFont="1" applyFill="1" applyBorder="1" applyAlignment="1" applyProtection="1">
      <alignment horizontal="center"/>
      <protection locked="0"/>
    </xf>
    <xf numFmtId="173" fontId="8" fillId="2" borderId="59" xfId="2" applyNumberFormat="1" applyFont="1" applyFill="1" applyBorder="1" applyAlignment="1">
      <alignment horizontal="center" vertical="center"/>
    </xf>
    <xf numFmtId="170" fontId="8" fillId="2" borderId="14" xfId="2" applyNumberFormat="1" applyFont="1" applyFill="1" applyBorder="1" applyAlignment="1">
      <alignment horizontal="center"/>
    </xf>
    <xf numFmtId="2" fontId="10" fillId="2" borderId="43" xfId="2" applyNumberFormat="1" applyFont="1" applyFill="1" applyBorder="1" applyAlignment="1">
      <alignment horizontal="center"/>
    </xf>
    <xf numFmtId="0" fontId="8" fillId="2" borderId="38" xfId="2" applyFont="1" applyFill="1" applyBorder="1" applyAlignment="1">
      <alignment horizontal="right"/>
    </xf>
    <xf numFmtId="170" fontId="8" fillId="2" borderId="12" xfId="2" applyNumberFormat="1" applyFont="1" applyFill="1" applyBorder="1" applyAlignment="1">
      <alignment horizontal="center"/>
    </xf>
    <xf numFmtId="0" fontId="11" fillId="3" borderId="12" xfId="2" applyFont="1" applyFill="1" applyBorder="1" applyAlignment="1" applyProtection="1">
      <alignment horizontal="center"/>
      <protection locked="0"/>
    </xf>
    <xf numFmtId="0" fontId="10" fillId="2" borderId="22" xfId="2" applyFont="1" applyFill="1" applyBorder="1" applyAlignment="1">
      <alignment horizontal="center"/>
    </xf>
    <xf numFmtId="173" fontId="8" fillId="2" borderId="37" xfId="2" applyNumberFormat="1" applyFont="1" applyFill="1" applyBorder="1" applyAlignment="1">
      <alignment horizontal="center" vertical="center"/>
    </xf>
    <xf numFmtId="1" fontId="11" fillId="3" borderId="14" xfId="2" applyNumberFormat="1" applyFont="1" applyFill="1" applyBorder="1" applyAlignment="1" applyProtection="1">
      <alignment horizontal="center"/>
      <protection locked="0"/>
    </xf>
    <xf numFmtId="0" fontId="9" fillId="2" borderId="16" xfId="2" applyFont="1" applyFill="1" applyBorder="1" applyAlignment="1">
      <alignment horizontal="center"/>
    </xf>
    <xf numFmtId="2" fontId="9" fillId="2" borderId="37" xfId="2" applyNumberFormat="1" applyFont="1" applyFill="1" applyBorder="1" applyAlignment="1">
      <alignment horizontal="center"/>
    </xf>
    <xf numFmtId="170" fontId="9" fillId="2" borderId="0" xfId="2" applyNumberFormat="1" applyFont="1" applyFill="1" applyAlignment="1" applyProtection="1">
      <alignment horizontal="center"/>
      <protection locked="0"/>
    </xf>
    <xf numFmtId="0" fontId="8" fillId="2" borderId="0" xfId="2" applyFont="1" applyFill="1" applyAlignment="1">
      <alignment horizontal="left"/>
    </xf>
    <xf numFmtId="174" fontId="11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horizontal="left"/>
    </xf>
    <xf numFmtId="0" fontId="8" fillId="7" borderId="36" xfId="2" applyFont="1" applyFill="1" applyBorder="1" applyAlignment="1">
      <alignment horizontal="center"/>
    </xf>
    <xf numFmtId="10" fontId="8" fillId="6" borderId="33" xfId="2" applyNumberFormat="1" applyFont="1" applyFill="1" applyBorder="1" applyAlignment="1">
      <alignment horizontal="center"/>
    </xf>
    <xf numFmtId="168" fontId="9" fillId="7" borderId="37" xfId="2" applyNumberFormat="1" applyFont="1" applyFill="1" applyBorder="1" applyAlignment="1">
      <alignment horizontal="center"/>
    </xf>
    <xf numFmtId="2" fontId="8" fillId="6" borderId="36" xfId="2" applyNumberFormat="1" applyFont="1" applyFill="1" applyBorder="1" applyAlignment="1">
      <alignment horizontal="center"/>
    </xf>
    <xf numFmtId="0" fontId="8" fillId="2" borderId="21" xfId="2" applyFont="1" applyFill="1" applyBorder="1" applyAlignment="1">
      <alignment horizontal="right"/>
    </xf>
    <xf numFmtId="170" fontId="8" fillId="2" borderId="0" xfId="2" applyNumberFormat="1" applyFont="1" applyFill="1" applyAlignment="1">
      <alignment horizontal="center"/>
    </xf>
    <xf numFmtId="170" fontId="8" fillId="2" borderId="0" xfId="2" applyNumberFormat="1" applyFont="1" applyFill="1"/>
    <xf numFmtId="170" fontId="11" fillId="3" borderId="33" xfId="2" applyNumberFormat="1" applyFont="1" applyFill="1" applyBorder="1" applyAlignment="1" applyProtection="1">
      <alignment horizontal="center"/>
      <protection locked="0"/>
    </xf>
    <xf numFmtId="0" fontId="8" fillId="2" borderId="35" xfId="2" applyFont="1" applyFill="1" applyBorder="1" applyAlignment="1">
      <alignment horizontal="right"/>
    </xf>
    <xf numFmtId="170" fontId="8" fillId="6" borderId="33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right"/>
    </xf>
    <xf numFmtId="0" fontId="8" fillId="2" borderId="31" xfId="2" applyFont="1" applyFill="1" applyBorder="1" applyAlignment="1">
      <alignment horizontal="right"/>
    </xf>
    <xf numFmtId="168" fontId="9" fillId="6" borderId="30" xfId="2" applyNumberFormat="1" applyFont="1" applyFill="1" applyBorder="1" applyAlignment="1">
      <alignment horizontal="center"/>
    </xf>
    <xf numFmtId="1" fontId="9" fillId="6" borderId="28" xfId="2" applyNumberFormat="1" applyFont="1" applyFill="1" applyBorder="1" applyAlignment="1">
      <alignment horizontal="center"/>
    </xf>
    <xf numFmtId="0" fontId="8" fillId="2" borderId="22" xfId="2" applyFont="1" applyFill="1" applyBorder="1" applyAlignment="1">
      <alignment horizontal="right"/>
    </xf>
    <xf numFmtId="0" fontId="9" fillId="2" borderId="0" xfId="2" applyFont="1" applyFill="1" applyAlignment="1">
      <alignment vertical="center" wrapText="1"/>
    </xf>
    <xf numFmtId="0" fontId="8" fillId="2" borderId="24" xfId="2" applyFont="1" applyFill="1" applyBorder="1" applyAlignment="1">
      <alignment horizontal="center"/>
    </xf>
    <xf numFmtId="0" fontId="12" fillId="2" borderId="0" xfId="2" applyFont="1" applyFill="1"/>
    <xf numFmtId="0" fontId="8" fillId="2" borderId="20" xfId="2" applyFont="1" applyFill="1" applyBorder="1" applyAlignment="1">
      <alignment horizontal="center"/>
    </xf>
    <xf numFmtId="0" fontId="9" fillId="2" borderId="44" xfId="2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left"/>
    </xf>
    <xf numFmtId="0" fontId="9" fillId="2" borderId="0" xfId="2" applyFont="1" applyFill="1"/>
    <xf numFmtId="0" fontId="10" fillId="2" borderId="0" xfId="2" applyFont="1" applyFill="1"/>
    <xf numFmtId="175" fontId="10" fillId="3" borderId="0" xfId="2" applyNumberFormat="1" applyFont="1" applyFill="1" applyAlignment="1" applyProtection="1">
      <alignment horizontal="center"/>
      <protection locked="0"/>
    </xf>
    <xf numFmtId="0" fontId="8" fillId="3" borderId="0" xfId="2" applyFont="1" applyFill="1" applyProtection="1">
      <protection locked="0"/>
    </xf>
    <xf numFmtId="0" fontId="11" fillId="2" borderId="0" xfId="2" applyFont="1" applyFill="1" applyAlignment="1" applyProtection="1">
      <alignment horizontal="left"/>
      <protection locked="0"/>
    </xf>
    <xf numFmtId="0" fontId="11" fillId="2" borderId="0" xfId="2" applyFont="1" applyFill="1" applyAlignment="1" applyProtection="1">
      <alignment horizontal="right"/>
      <protection locked="0"/>
    </xf>
    <xf numFmtId="0" fontId="10" fillId="3" borderId="0" xfId="2" applyFont="1" applyFill="1" applyAlignment="1" applyProtection="1">
      <alignment horizontal="left"/>
      <protection locked="0"/>
    </xf>
    <xf numFmtId="0" fontId="14" fillId="2" borderId="54" xfId="2" applyFont="1" applyFill="1" applyBorder="1" applyAlignment="1">
      <alignment horizontal="justify" vertical="center" wrapText="1"/>
    </xf>
    <xf numFmtId="0" fontId="14" fillId="2" borderId="55" xfId="2" applyFont="1" applyFill="1" applyBorder="1" applyAlignment="1">
      <alignment horizontal="justify" vertical="center" wrapText="1"/>
    </xf>
    <xf numFmtId="0" fontId="14" fillId="2" borderId="57" xfId="2" applyFont="1" applyFill="1" applyBorder="1" applyAlignment="1">
      <alignment horizontal="justify" vertical="center" wrapText="1"/>
    </xf>
    <xf numFmtId="0" fontId="14" fillId="2" borderId="54" xfId="2" applyFont="1" applyFill="1" applyBorder="1" applyAlignment="1">
      <alignment horizontal="left" vertical="center" wrapText="1"/>
    </xf>
    <xf numFmtId="0" fontId="14" fillId="2" borderId="55" xfId="2" applyFont="1" applyFill="1" applyBorder="1" applyAlignment="1">
      <alignment horizontal="left" vertical="center" wrapText="1"/>
    </xf>
    <xf numFmtId="0" fontId="14" fillId="2" borderId="57" xfId="2" applyFont="1" applyFill="1" applyBorder="1" applyAlignment="1">
      <alignment horizontal="left" vertical="center" wrapText="1"/>
    </xf>
    <xf numFmtId="0" fontId="14" fillId="2" borderId="54" xfId="2" applyFont="1" applyFill="1" applyBorder="1" applyAlignment="1">
      <alignment horizontal="center"/>
    </xf>
    <xf numFmtId="0" fontId="14" fillId="2" borderId="55" xfId="2" applyFont="1" applyFill="1" applyBorder="1" applyAlignment="1">
      <alignment horizontal="center"/>
    </xf>
    <xf numFmtId="0" fontId="14" fillId="2" borderId="57" xfId="2" applyFont="1" applyFill="1" applyBorder="1" applyAlignment="1">
      <alignment horizontal="center"/>
    </xf>
    <xf numFmtId="0" fontId="26" fillId="2" borderId="10" xfId="2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2" applyFont="1" applyFill="1" applyAlignment="1" applyProtection="1">
      <alignment horizontal="left" wrapText="1"/>
      <protection locked="0"/>
    </xf>
    <xf numFmtId="0" fontId="9" fillId="2" borderId="10" xfId="2" applyFont="1" applyFill="1" applyBorder="1" applyAlignment="1">
      <alignment horizontal="center"/>
    </xf>
    <xf numFmtId="0" fontId="9" fillId="2" borderId="46" xfId="2" applyFont="1" applyFill="1" applyBorder="1" applyAlignment="1">
      <alignment horizontal="center" vertical="center"/>
    </xf>
    <xf numFmtId="0" fontId="9" fillId="2" borderId="56" xfId="2" applyFont="1" applyFill="1" applyBorder="1" applyAlignment="1">
      <alignment horizontal="center" vertical="center"/>
    </xf>
    <xf numFmtId="2" fontId="11" fillId="3" borderId="37" xfId="2" applyNumberFormat="1" applyFont="1" applyFill="1" applyBorder="1" applyAlignment="1" applyProtection="1">
      <alignment horizontal="center" vertical="center"/>
      <protection locked="0"/>
    </xf>
    <xf numFmtId="2" fontId="11" fillId="3" borderId="59" xfId="2" applyNumberFormat="1" applyFont="1" applyFill="1" applyBorder="1" applyAlignment="1" applyProtection="1">
      <alignment horizontal="center" vertical="center"/>
      <protection locked="0"/>
    </xf>
    <xf numFmtId="2" fontId="11" fillId="3" borderId="36" xfId="2" applyNumberFormat="1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>
      <alignment horizontal="center" vertical="center"/>
    </xf>
    <xf numFmtId="0" fontId="17" fillId="2" borderId="0" xfId="2" applyFont="1" applyFill="1" applyAlignment="1">
      <alignment horizontal="center" vertic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6" xfId="2" applyFont="1" applyFill="1" applyBorder="1" applyAlignment="1">
      <alignment horizontal="left" vertical="center" wrapText="1"/>
    </xf>
    <xf numFmtId="0" fontId="14" fillId="2" borderId="38" xfId="2" applyFont="1" applyFill="1" applyBorder="1" applyAlignment="1">
      <alignment horizontal="left" vertical="center" wrapText="1"/>
    </xf>
    <xf numFmtId="0" fontId="14" fillId="2" borderId="43" xfId="2" applyFont="1" applyFill="1" applyBorder="1" applyAlignment="1">
      <alignment horizontal="left" vertical="center" wrapText="1"/>
    </xf>
    <xf numFmtId="0" fontId="9" fillId="2" borderId="0" xfId="2" applyFont="1" applyFill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9" fillId="2" borderId="31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11" fillId="3" borderId="0" xfId="2" applyFont="1" applyFill="1" applyAlignment="1" applyProtection="1">
      <alignment horizontal="left"/>
      <protection locked="0"/>
    </xf>
    <xf numFmtId="10" fontId="25" fillId="2" borderId="59" xfId="2" applyNumberFormat="1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11" fillId="3" borderId="0" xfId="2" applyFont="1" applyFill="1" applyAlignment="1" applyProtection="1">
      <alignment horizontal="left" wrapText="1"/>
      <protection locked="0"/>
    </xf>
    <xf numFmtId="0" fontId="14" fillId="2" borderId="10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9" fillId="2" borderId="38" xfId="2" applyFont="1" applyFill="1" applyBorder="1" applyAlignment="1">
      <alignment horizontal="center" vertical="center"/>
    </xf>
    <xf numFmtId="0" fontId="14" fillId="2" borderId="12" xfId="2" applyFont="1" applyFill="1" applyBorder="1" applyAlignment="1">
      <alignment horizontal="center" vertical="center" wrapText="1"/>
    </xf>
    <xf numFmtId="0" fontId="14" fillId="2" borderId="16" xfId="2" applyFont="1" applyFill="1" applyBorder="1" applyAlignment="1">
      <alignment horizontal="center" vertical="center" wrapText="1"/>
    </xf>
    <xf numFmtId="0" fontId="14" fillId="2" borderId="38" xfId="2" applyFont="1" applyFill="1" applyBorder="1" applyAlignment="1">
      <alignment horizontal="center" vertical="center" wrapText="1"/>
    </xf>
    <xf numFmtId="0" fontId="14" fillId="2" borderId="43" xfId="2" applyFont="1" applyFill="1" applyBorder="1" applyAlignment="1">
      <alignment horizontal="center" vertical="center" wrapText="1"/>
    </xf>
    <xf numFmtId="170" fontId="5" fillId="2" borderId="37" xfId="1" applyNumberFormat="1" applyFont="1" applyFill="1" applyBorder="1" applyAlignment="1">
      <alignment horizontal="center" vertical="center"/>
    </xf>
    <xf numFmtId="170" fontId="5" fillId="2" borderId="36" xfId="1" applyNumberFormat="1" applyFont="1" applyFill="1" applyBorder="1" applyAlignment="1">
      <alignment horizontal="center" vertical="center"/>
    </xf>
    <xf numFmtId="0" fontId="21" fillId="2" borderId="54" xfId="1" applyFont="1" applyFill="1" applyBorder="1" applyAlignment="1">
      <alignment horizontal="center" wrapText="1"/>
    </xf>
    <xf numFmtId="0" fontId="21" fillId="2" borderId="55" xfId="1" applyFont="1" applyFill="1" applyBorder="1" applyAlignment="1">
      <alignment horizontal="center" wrapText="1"/>
    </xf>
    <xf numFmtId="0" fontId="21" fillId="2" borderId="57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0" fontId="14" fillId="2" borderId="55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left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14" fillId="2" borderId="57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  <xf numFmtId="0" fontId="14" fillId="2" borderId="57" xfId="0" applyFont="1" applyFill="1" applyBorder="1" applyAlignment="1">
      <alignment horizontal="justify" vertical="center" wrapText="1"/>
    </xf>
  </cellXfs>
  <cellStyles count="3">
    <cellStyle name="Normal" xfId="0" builtinId="0"/>
    <cellStyle name="Normal 2" xfId="1"/>
    <cellStyle name="Normal 3" xfId="2"/>
  </cellStyles>
  <dxfs count="3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AppData/Local/Temp/NDQD201610180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carvedilol"/>
      <sheetName val="Uniformity"/>
      <sheetName val="carvedilol 1"/>
      <sheetName val="carvedilol 2"/>
    </sheetNames>
    <sheetDataSet>
      <sheetData sheetId="0"/>
      <sheetData sheetId="1"/>
      <sheetData sheetId="2">
        <row r="46">
          <cell r="C46">
            <v>101.5915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" zoomScale="55" zoomScaleNormal="40" zoomScalePageLayoutView="55" workbookViewId="0">
      <selection activeCell="B28" sqref="B28"/>
    </sheetView>
  </sheetViews>
  <sheetFormatPr defaultColWidth="9.140625" defaultRowHeight="13.5" x14ac:dyDescent="0.25"/>
  <cols>
    <col min="1" max="1" width="55.42578125" style="281" customWidth="1"/>
    <col min="2" max="2" width="33.7109375" style="281" customWidth="1"/>
    <col min="3" max="3" width="42.28515625" style="281" customWidth="1"/>
    <col min="4" max="4" width="30.5703125" style="281" customWidth="1"/>
    <col min="5" max="5" width="39.85546875" style="281" customWidth="1"/>
    <col min="6" max="6" width="30.7109375" style="281" customWidth="1"/>
    <col min="7" max="7" width="39.85546875" style="281" customWidth="1"/>
    <col min="8" max="8" width="30" style="281" customWidth="1"/>
    <col min="9" max="9" width="30.28515625" style="281" hidden="1" customWidth="1"/>
    <col min="10" max="10" width="30.42578125" style="281" customWidth="1"/>
    <col min="11" max="11" width="21.28515625" style="281" customWidth="1"/>
    <col min="12" max="12" width="9.140625" style="281"/>
    <col min="13" max="16384" width="9.140625" style="280"/>
  </cols>
  <sheetData>
    <row r="1" spans="1:9" ht="18.75" customHeight="1" x14ac:dyDescent="0.25">
      <c r="A1" s="464" t="s">
        <v>31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32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thickBot="1" x14ac:dyDescent="0.35">
      <c r="A15" s="282"/>
    </row>
    <row r="16" spans="1:9" ht="19.5" customHeight="1" thickBot="1" x14ac:dyDescent="0.35">
      <c r="A16" s="451" t="s">
        <v>33</v>
      </c>
      <c r="B16" s="452"/>
      <c r="C16" s="452"/>
      <c r="D16" s="452"/>
      <c r="E16" s="452"/>
      <c r="F16" s="452"/>
      <c r="G16" s="452"/>
      <c r="H16" s="453"/>
    </row>
    <row r="17" spans="1:14" ht="20.25" customHeight="1" x14ac:dyDescent="0.25">
      <c r="A17" s="454" t="s">
        <v>34</v>
      </c>
      <c r="B17" s="454"/>
      <c r="C17" s="454"/>
      <c r="D17" s="454"/>
      <c r="E17" s="454"/>
      <c r="F17" s="454"/>
      <c r="G17" s="454"/>
      <c r="H17" s="454"/>
    </row>
    <row r="18" spans="1:14" ht="26.25" customHeight="1" x14ac:dyDescent="0.4">
      <c r="A18" s="438" t="s">
        <v>35</v>
      </c>
      <c r="B18" s="455" t="s">
        <v>5</v>
      </c>
      <c r="C18" s="455"/>
      <c r="D18" s="443"/>
      <c r="E18" s="442"/>
      <c r="F18" s="439"/>
      <c r="G18" s="439"/>
      <c r="H18" s="439"/>
    </row>
    <row r="19" spans="1:14" ht="26.25" customHeight="1" x14ac:dyDescent="0.4">
      <c r="A19" s="438" t="s">
        <v>36</v>
      </c>
      <c r="B19" s="232" t="s">
        <v>7</v>
      </c>
      <c r="C19" s="439">
        <v>1</v>
      </c>
      <c r="D19" s="439"/>
      <c r="E19" s="439"/>
      <c r="F19" s="439"/>
      <c r="G19" s="439"/>
      <c r="H19" s="439"/>
    </row>
    <row r="20" spans="1:14" ht="26.25" customHeight="1" x14ac:dyDescent="0.4">
      <c r="A20" s="438" t="s">
        <v>37</v>
      </c>
      <c r="B20" s="456" t="s">
        <v>117</v>
      </c>
      <c r="C20" s="456"/>
      <c r="D20" s="439"/>
      <c r="E20" s="439"/>
      <c r="F20" s="439"/>
      <c r="G20" s="439"/>
      <c r="H20" s="439"/>
    </row>
    <row r="21" spans="1:14" ht="26.25" customHeight="1" x14ac:dyDescent="0.4">
      <c r="A21" s="438" t="s">
        <v>38</v>
      </c>
      <c r="B21" s="457" t="s">
        <v>11</v>
      </c>
      <c r="C21" s="457"/>
      <c r="D21" s="457"/>
      <c r="E21" s="457"/>
      <c r="F21" s="457"/>
      <c r="G21" s="457"/>
      <c r="H21" s="457"/>
      <c r="I21" s="441"/>
    </row>
    <row r="22" spans="1:14" ht="26.25" customHeight="1" x14ac:dyDescent="0.4">
      <c r="A22" s="438" t="s">
        <v>39</v>
      </c>
      <c r="B22" s="440">
        <v>42739</v>
      </c>
      <c r="C22" s="439"/>
      <c r="D22" s="439"/>
      <c r="E22" s="439"/>
      <c r="F22" s="439"/>
      <c r="G22" s="439"/>
      <c r="H22" s="439"/>
    </row>
    <row r="23" spans="1:14" ht="26.25" customHeight="1" x14ac:dyDescent="0.4">
      <c r="A23" s="438" t="s">
        <v>40</v>
      </c>
      <c r="B23" s="440">
        <v>42741</v>
      </c>
      <c r="C23" s="439"/>
      <c r="D23" s="439"/>
      <c r="E23" s="439"/>
      <c r="F23" s="439"/>
      <c r="G23" s="439"/>
      <c r="H23" s="439"/>
    </row>
    <row r="24" spans="1:14" ht="18.75" x14ac:dyDescent="0.3">
      <c r="A24" s="438"/>
      <c r="B24" s="437"/>
    </row>
    <row r="25" spans="1:14" ht="18.75" x14ac:dyDescent="0.3">
      <c r="A25" s="385" t="s">
        <v>1</v>
      </c>
      <c r="B25" s="437"/>
    </row>
    <row r="26" spans="1:14" ht="26.25" customHeight="1" x14ac:dyDescent="0.4">
      <c r="A26" s="287" t="s">
        <v>4</v>
      </c>
      <c r="B26" s="479" t="s">
        <v>157</v>
      </c>
      <c r="C26" s="479"/>
    </row>
    <row r="27" spans="1:14" ht="26.25" customHeight="1" x14ac:dyDescent="0.4">
      <c r="A27" s="295" t="s">
        <v>41</v>
      </c>
      <c r="B27" s="444" t="s">
        <v>121</v>
      </c>
      <c r="C27" s="444"/>
    </row>
    <row r="28" spans="1:14" ht="27" customHeight="1" thickBot="1" x14ac:dyDescent="0.45">
      <c r="A28" s="295" t="s">
        <v>6</v>
      </c>
      <c r="B28" s="357">
        <v>99.4</v>
      </c>
    </row>
    <row r="29" spans="1:14" s="386" customFormat="1" ht="27" customHeight="1" thickBot="1" x14ac:dyDescent="0.45">
      <c r="A29" s="295" t="s">
        <v>42</v>
      </c>
      <c r="B29" s="394">
        <v>0</v>
      </c>
      <c r="C29" s="445" t="s">
        <v>99</v>
      </c>
      <c r="D29" s="446"/>
      <c r="E29" s="446"/>
      <c r="F29" s="446"/>
      <c r="G29" s="447"/>
      <c r="I29" s="387"/>
      <c r="J29" s="387"/>
      <c r="K29" s="387"/>
      <c r="L29" s="387"/>
    </row>
    <row r="30" spans="1:14" s="386" customFormat="1" ht="19.5" customHeight="1" thickBot="1" x14ac:dyDescent="0.35">
      <c r="A30" s="295" t="s">
        <v>44</v>
      </c>
      <c r="B30" s="393">
        <f>B28-B29</f>
        <v>99.4</v>
      </c>
      <c r="C30" s="392"/>
      <c r="D30" s="392"/>
      <c r="E30" s="392"/>
      <c r="F30" s="392"/>
      <c r="G30" s="391"/>
      <c r="I30" s="387"/>
      <c r="J30" s="387"/>
      <c r="K30" s="387"/>
      <c r="L30" s="387"/>
    </row>
    <row r="31" spans="1:14" s="386" customFormat="1" ht="27" customHeight="1" thickBot="1" x14ac:dyDescent="0.45">
      <c r="A31" s="295" t="s">
        <v>45</v>
      </c>
      <c r="B31" s="390">
        <v>1</v>
      </c>
      <c r="C31" s="448" t="s">
        <v>46</v>
      </c>
      <c r="D31" s="449"/>
      <c r="E31" s="449"/>
      <c r="F31" s="449"/>
      <c r="G31" s="449"/>
      <c r="H31" s="450"/>
      <c r="I31" s="387"/>
      <c r="J31" s="387"/>
      <c r="K31" s="387"/>
      <c r="L31" s="387"/>
    </row>
    <row r="32" spans="1:14" s="386" customFormat="1" ht="27" customHeight="1" thickBot="1" x14ac:dyDescent="0.45">
      <c r="A32" s="295" t="s">
        <v>47</v>
      </c>
      <c r="B32" s="390">
        <v>1</v>
      </c>
      <c r="C32" s="448" t="s">
        <v>48</v>
      </c>
      <c r="D32" s="449"/>
      <c r="E32" s="449"/>
      <c r="F32" s="449"/>
      <c r="G32" s="449"/>
      <c r="H32" s="450"/>
      <c r="I32" s="387"/>
      <c r="J32" s="387"/>
      <c r="K32" s="387"/>
      <c r="L32" s="432"/>
      <c r="M32" s="432"/>
      <c r="N32" s="434"/>
    </row>
    <row r="33" spans="1:14" s="386" customFormat="1" ht="17.25" customHeight="1" x14ac:dyDescent="0.3">
      <c r="A33" s="295"/>
      <c r="B33" s="389"/>
      <c r="C33" s="296"/>
      <c r="D33" s="296"/>
      <c r="E33" s="296"/>
      <c r="F33" s="296"/>
      <c r="G33" s="296"/>
      <c r="H33" s="296"/>
      <c r="I33" s="387"/>
      <c r="J33" s="387"/>
      <c r="K33" s="387"/>
      <c r="L33" s="432"/>
      <c r="M33" s="432"/>
      <c r="N33" s="434"/>
    </row>
    <row r="34" spans="1:14" s="386" customFormat="1" ht="18.75" x14ac:dyDescent="0.3">
      <c r="A34" s="295" t="s">
        <v>49</v>
      </c>
      <c r="B34" s="388">
        <f>B31/B32</f>
        <v>1</v>
      </c>
      <c r="C34" s="282" t="s">
        <v>50</v>
      </c>
      <c r="D34" s="282"/>
      <c r="E34" s="282"/>
      <c r="F34" s="282"/>
      <c r="G34" s="282"/>
      <c r="I34" s="387"/>
      <c r="J34" s="387"/>
      <c r="K34" s="387"/>
      <c r="L34" s="432"/>
      <c r="M34" s="432"/>
      <c r="N34" s="434"/>
    </row>
    <row r="35" spans="1:14" s="386" customFormat="1" ht="19.5" customHeight="1" thickBot="1" x14ac:dyDescent="0.35">
      <c r="A35" s="295"/>
      <c r="B35" s="393"/>
      <c r="G35" s="282"/>
      <c r="I35" s="387"/>
      <c r="J35" s="387"/>
      <c r="K35" s="387"/>
      <c r="L35" s="432"/>
      <c r="M35" s="432"/>
      <c r="N35" s="434"/>
    </row>
    <row r="36" spans="1:14" s="386" customFormat="1" ht="27" customHeight="1" thickBot="1" x14ac:dyDescent="0.45">
      <c r="A36" s="335" t="s">
        <v>141</v>
      </c>
      <c r="B36" s="334">
        <v>100</v>
      </c>
      <c r="C36" s="282"/>
      <c r="D36" s="471" t="s">
        <v>52</v>
      </c>
      <c r="E36" s="472"/>
      <c r="F36" s="471" t="s">
        <v>53</v>
      </c>
      <c r="G36" s="473"/>
      <c r="J36" s="387"/>
      <c r="K36" s="387"/>
      <c r="L36" s="432"/>
      <c r="M36" s="432"/>
      <c r="N36" s="434"/>
    </row>
    <row r="37" spans="1:14" s="386" customFormat="1" ht="27" customHeight="1" thickBot="1" x14ac:dyDescent="0.45">
      <c r="A37" s="314" t="s">
        <v>54</v>
      </c>
      <c r="B37" s="319">
        <v>1</v>
      </c>
      <c r="C37" s="411" t="s">
        <v>55</v>
      </c>
      <c r="D37" s="381" t="s">
        <v>56</v>
      </c>
      <c r="E37" s="382" t="s">
        <v>57</v>
      </c>
      <c r="F37" s="381" t="s">
        <v>56</v>
      </c>
      <c r="G37" s="436" t="s">
        <v>57</v>
      </c>
      <c r="I37" s="379" t="s">
        <v>140</v>
      </c>
      <c r="J37" s="387"/>
      <c r="K37" s="387"/>
      <c r="L37" s="432"/>
      <c r="M37" s="432"/>
      <c r="N37" s="434"/>
    </row>
    <row r="38" spans="1:14" s="386" customFormat="1" ht="26.25" customHeight="1" x14ac:dyDescent="0.4">
      <c r="A38" s="314" t="s">
        <v>58</v>
      </c>
      <c r="B38" s="319">
        <v>1</v>
      </c>
      <c r="C38" s="435">
        <v>1</v>
      </c>
      <c r="D38" s="376">
        <v>36500905</v>
      </c>
      <c r="E38" s="377">
        <f>IF(ISBLANK(D38),"-",$D$48/$D$45*D38)</f>
        <v>34985930.253778771</v>
      </c>
      <c r="F38" s="376">
        <v>34066315</v>
      </c>
      <c r="G38" s="375">
        <f>IF(ISBLANK(F38),"-",$D$48/$F$45*F38)</f>
        <v>34800920.674330302</v>
      </c>
      <c r="I38" s="374"/>
      <c r="J38" s="387"/>
      <c r="K38" s="387"/>
      <c r="L38" s="432"/>
      <c r="M38" s="432"/>
      <c r="N38" s="434"/>
    </row>
    <row r="39" spans="1:14" s="386" customFormat="1" ht="26.25" customHeight="1" x14ac:dyDescent="0.4">
      <c r="A39" s="314" t="s">
        <v>59</v>
      </c>
      <c r="B39" s="319">
        <v>1</v>
      </c>
      <c r="C39" s="313">
        <v>2</v>
      </c>
      <c r="D39" s="372">
        <v>36605339</v>
      </c>
      <c r="E39" s="373">
        <f>IF(ISBLANK(D39),"-",$D$48/$D$45*D39)</f>
        <v>35086029.707206659</v>
      </c>
      <c r="F39" s="372">
        <v>34050615</v>
      </c>
      <c r="G39" s="371">
        <f>IF(ISBLANK(F39),"-",$D$48/$F$45*F39)</f>
        <v>34784882.119688071</v>
      </c>
      <c r="I39" s="475">
        <f>ABS((F43/D43*D42)-F42)/D42</f>
        <v>2.8690651634372777E-3</v>
      </c>
      <c r="J39" s="387"/>
      <c r="K39" s="387"/>
      <c r="L39" s="432"/>
      <c r="M39" s="432"/>
      <c r="N39" s="434"/>
    </row>
    <row r="40" spans="1:14" ht="26.25" customHeight="1" x14ac:dyDescent="0.4">
      <c r="A40" s="314" t="s">
        <v>60</v>
      </c>
      <c r="B40" s="319">
        <v>1</v>
      </c>
      <c r="C40" s="313">
        <v>3</v>
      </c>
      <c r="D40" s="372">
        <v>36438422</v>
      </c>
      <c r="E40" s="373">
        <f>IF(ISBLANK(D40),"-",$D$48/$D$45*D40)</f>
        <v>34926040.618712276</v>
      </c>
      <c r="F40" s="372">
        <v>34350398</v>
      </c>
      <c r="G40" s="371">
        <f>IF(ISBLANK(F40),"-",$D$48/$F$45*F40)</f>
        <v>35091129.637287572</v>
      </c>
      <c r="I40" s="475"/>
      <c r="L40" s="432"/>
      <c r="M40" s="432"/>
      <c r="N40" s="282"/>
    </row>
    <row r="41" spans="1:14" ht="27" customHeight="1" thickBot="1" x14ac:dyDescent="0.45">
      <c r="A41" s="314" t="s">
        <v>61</v>
      </c>
      <c r="B41" s="319">
        <v>1</v>
      </c>
      <c r="C41" s="433">
        <v>4</v>
      </c>
      <c r="D41" s="369"/>
      <c r="E41" s="368" t="str">
        <f>IF(ISBLANK(D41),"-",$D$48/$D$45*D41)</f>
        <v>-</v>
      </c>
      <c r="F41" s="369"/>
      <c r="G41" s="366" t="str">
        <f>IF(ISBLANK(F41),"-",$D$48/$F$45*F41)</f>
        <v>-</v>
      </c>
      <c r="I41" s="365"/>
      <c r="L41" s="432"/>
      <c r="M41" s="432"/>
      <c r="N41" s="282"/>
    </row>
    <row r="42" spans="1:14" ht="27" customHeight="1" thickBot="1" x14ac:dyDescent="0.45">
      <c r="A42" s="314" t="s">
        <v>62</v>
      </c>
      <c r="B42" s="319">
        <v>1</v>
      </c>
      <c r="C42" s="431" t="s">
        <v>63</v>
      </c>
      <c r="D42" s="430">
        <f>AVERAGE(D38:D41)</f>
        <v>36514888.666666664</v>
      </c>
      <c r="E42" s="363">
        <f>AVERAGE(E38:E41)</f>
        <v>34999333.526565902</v>
      </c>
      <c r="F42" s="430">
        <f>AVERAGE(F38:F41)</f>
        <v>34155776</v>
      </c>
      <c r="G42" s="429">
        <f>AVERAGE(G38:G41)</f>
        <v>34892310.810435317</v>
      </c>
      <c r="H42" s="337"/>
    </row>
    <row r="43" spans="1:14" ht="26.25" customHeight="1" x14ac:dyDescent="0.4">
      <c r="A43" s="314" t="s">
        <v>64</v>
      </c>
      <c r="B43" s="319">
        <v>1</v>
      </c>
      <c r="C43" s="428" t="s">
        <v>156</v>
      </c>
      <c r="D43" s="358">
        <v>13.12</v>
      </c>
      <c r="E43" s="282"/>
      <c r="F43" s="358">
        <v>12.31</v>
      </c>
      <c r="H43" s="337"/>
    </row>
    <row r="44" spans="1:14" ht="26.25" customHeight="1" x14ac:dyDescent="0.4">
      <c r="A44" s="314" t="s">
        <v>66</v>
      </c>
      <c r="B44" s="319">
        <v>1</v>
      </c>
      <c r="C44" s="427" t="s">
        <v>155</v>
      </c>
      <c r="D44" s="356">
        <f>D43*$B$34</f>
        <v>13.12</v>
      </c>
      <c r="E44" s="283"/>
      <c r="F44" s="356">
        <f>F43*$B$34</f>
        <v>12.31</v>
      </c>
      <c r="H44" s="337"/>
    </row>
    <row r="45" spans="1:14" ht="19.5" customHeight="1" thickBot="1" x14ac:dyDescent="0.35">
      <c r="A45" s="314" t="s">
        <v>68</v>
      </c>
      <c r="B45" s="313">
        <f>(B44/B43)*(B42/B41)*(B40/B39)*(B38/B37)*B36</f>
        <v>100</v>
      </c>
      <c r="C45" s="427" t="s">
        <v>69</v>
      </c>
      <c r="D45" s="354">
        <f>D44*$B$30/100</f>
        <v>13.041279999999999</v>
      </c>
      <c r="E45" s="284"/>
      <c r="F45" s="354">
        <f>F44*$B$30/100</f>
        <v>12.236140000000001</v>
      </c>
      <c r="H45" s="337"/>
    </row>
    <row r="46" spans="1:14" ht="19.5" customHeight="1" thickBot="1" x14ac:dyDescent="0.35">
      <c r="A46" s="466" t="s">
        <v>70</v>
      </c>
      <c r="B46" s="467"/>
      <c r="C46" s="427" t="s">
        <v>71</v>
      </c>
      <c r="D46" s="426">
        <f>D45/$B$45</f>
        <v>0.1304128</v>
      </c>
      <c r="E46" s="422"/>
      <c r="F46" s="352">
        <f>F45/$B$45</f>
        <v>0.12236140000000001</v>
      </c>
      <c r="H46" s="337"/>
    </row>
    <row r="47" spans="1:14" ht="27" customHeight="1" thickBot="1" x14ac:dyDescent="0.45">
      <c r="A47" s="468"/>
      <c r="B47" s="469"/>
      <c r="C47" s="425" t="s">
        <v>137</v>
      </c>
      <c r="D47" s="424">
        <v>0.125</v>
      </c>
      <c r="E47" s="423"/>
      <c r="F47" s="422"/>
      <c r="H47" s="337"/>
    </row>
    <row r="48" spans="1:14" ht="18.75" x14ac:dyDescent="0.3">
      <c r="C48" s="421" t="s">
        <v>73</v>
      </c>
      <c r="D48" s="354">
        <f>D47*$B$45</f>
        <v>12.5</v>
      </c>
      <c r="F48" s="348"/>
      <c r="H48" s="337"/>
    </row>
    <row r="49" spans="1:12" ht="19.5" customHeight="1" thickBot="1" x14ac:dyDescent="0.35">
      <c r="C49" s="300" t="s">
        <v>74</v>
      </c>
      <c r="D49" s="420">
        <f>D48/B34</f>
        <v>12.5</v>
      </c>
      <c r="F49" s="348"/>
      <c r="H49" s="337"/>
    </row>
    <row r="50" spans="1:12" ht="18.75" x14ac:dyDescent="0.3">
      <c r="C50" s="335" t="s">
        <v>75</v>
      </c>
      <c r="D50" s="419">
        <f>AVERAGE(E38:E41,G38:G41)</f>
        <v>34945822.168500602</v>
      </c>
      <c r="F50" s="338"/>
      <c r="H50" s="337"/>
    </row>
    <row r="51" spans="1:12" ht="18.75" x14ac:dyDescent="0.3">
      <c r="C51" s="314" t="s">
        <v>76</v>
      </c>
      <c r="D51" s="418">
        <f>STDEV(E38:E41,G38:G41)/D50</f>
        <v>3.8321684528003119E-3</v>
      </c>
      <c r="F51" s="338"/>
      <c r="H51" s="337"/>
    </row>
    <row r="52" spans="1:12" ht="19.5" customHeight="1" thickBot="1" x14ac:dyDescent="0.35">
      <c r="C52" s="405" t="s">
        <v>20</v>
      </c>
      <c r="D52" s="417">
        <f>COUNT(E38:E41,G38:G41)</f>
        <v>6</v>
      </c>
      <c r="F52" s="338"/>
    </row>
    <row r="54" spans="1:12" ht="18.75" x14ac:dyDescent="0.3">
      <c r="A54" s="336" t="s">
        <v>1</v>
      </c>
      <c r="B54" s="416" t="s">
        <v>77</v>
      </c>
    </row>
    <row r="55" spans="1:12" ht="18.75" x14ac:dyDescent="0.3">
      <c r="A55" s="282" t="s">
        <v>78</v>
      </c>
      <c r="B55" s="414" t="str">
        <f>B21</f>
        <v>Each tablet contains Carvedilol 6.25 mg</v>
      </c>
    </row>
    <row r="56" spans="1:12" ht="26.25" customHeight="1" x14ac:dyDescent="0.4">
      <c r="A56" s="414" t="s">
        <v>154</v>
      </c>
      <c r="B56" s="415">
        <v>6.25</v>
      </c>
      <c r="C56" s="282" t="str">
        <f>B20</f>
        <v>CARVERDILOL</v>
      </c>
      <c r="H56" s="283"/>
    </row>
    <row r="57" spans="1:12" ht="18.75" x14ac:dyDescent="0.3">
      <c r="A57" s="414" t="s">
        <v>153</v>
      </c>
      <c r="B57" s="413">
        <f>[1]Uniformity!C46</f>
        <v>101.5915</v>
      </c>
      <c r="H57" s="283"/>
    </row>
    <row r="58" spans="1:12" ht="19.5" customHeight="1" thickBot="1" x14ac:dyDescent="0.35">
      <c r="H58" s="283"/>
    </row>
    <row r="59" spans="1:12" s="386" customFormat="1" ht="27" customHeight="1" thickBot="1" x14ac:dyDescent="0.45">
      <c r="A59" s="335" t="s">
        <v>152</v>
      </c>
      <c r="B59" s="334">
        <v>50</v>
      </c>
      <c r="C59" s="282"/>
      <c r="D59" s="412" t="s">
        <v>151</v>
      </c>
      <c r="E59" s="333" t="s">
        <v>55</v>
      </c>
      <c r="F59" s="333" t="s">
        <v>56</v>
      </c>
      <c r="G59" s="333" t="s">
        <v>150</v>
      </c>
      <c r="H59" s="411" t="s">
        <v>149</v>
      </c>
      <c r="L59" s="387"/>
    </row>
    <row r="60" spans="1:12" s="386" customFormat="1" ht="26.25" customHeight="1" x14ac:dyDescent="0.4">
      <c r="A60" s="314" t="s">
        <v>148</v>
      </c>
      <c r="B60" s="319">
        <v>1</v>
      </c>
      <c r="C60" s="476" t="s">
        <v>147</v>
      </c>
      <c r="D60" s="461">
        <v>101.41</v>
      </c>
      <c r="E60" s="331">
        <v>1</v>
      </c>
      <c r="F60" s="407">
        <v>34413789</v>
      </c>
      <c r="G60" s="406">
        <f>IF(ISBLANK(F60),"-",(F60/$D$50*$D$47*$B$68)*($B$57/$D$60))</f>
        <v>6.1658625109642493</v>
      </c>
      <c r="H60" s="409">
        <f t="shared" ref="H60:H71" si="0">IF(ISBLANK(F60),"-",(G60/$B$56)*100)</f>
        <v>98.653800175427989</v>
      </c>
      <c r="L60" s="387"/>
    </row>
    <row r="61" spans="1:12" s="386" customFormat="1" ht="26.25" customHeight="1" x14ac:dyDescent="0.4">
      <c r="A61" s="314" t="s">
        <v>107</v>
      </c>
      <c r="B61" s="319">
        <v>1</v>
      </c>
      <c r="C61" s="477"/>
      <c r="D61" s="462"/>
      <c r="E61" s="327">
        <v>2</v>
      </c>
      <c r="F61" s="372">
        <v>34107043</v>
      </c>
      <c r="G61" s="403">
        <f>IF(ISBLANK(F61),"-",(F61/$D$50*$D$47*$B$68)*($B$57/$D$60))</f>
        <v>6.1109033298700597</v>
      </c>
      <c r="H61" s="402">
        <f t="shared" si="0"/>
        <v>97.774453277920955</v>
      </c>
      <c r="L61" s="387"/>
    </row>
    <row r="62" spans="1:12" s="386" customFormat="1" ht="26.25" customHeight="1" x14ac:dyDescent="0.4">
      <c r="A62" s="314" t="s">
        <v>108</v>
      </c>
      <c r="B62" s="319">
        <v>1</v>
      </c>
      <c r="C62" s="477"/>
      <c r="D62" s="462"/>
      <c r="E62" s="327">
        <v>3</v>
      </c>
      <c r="F62" s="410">
        <v>34386677</v>
      </c>
      <c r="G62" s="403">
        <f>IF(ISBLANK(F62),"-",(F62/$D$50*$D$47*$B$68)*($B$57/$D$60))</f>
        <v>6.1610048980929299</v>
      </c>
      <c r="H62" s="402">
        <f t="shared" si="0"/>
        <v>98.576078369486879</v>
      </c>
      <c r="L62" s="387"/>
    </row>
    <row r="63" spans="1:12" ht="27" customHeight="1" thickBot="1" x14ac:dyDescent="0.45">
      <c r="A63" s="314" t="s">
        <v>109</v>
      </c>
      <c r="B63" s="319">
        <v>1</v>
      </c>
      <c r="C63" s="478"/>
      <c r="D63" s="463"/>
      <c r="E63" s="324">
        <v>4</v>
      </c>
      <c r="F63" s="401"/>
      <c r="G63" s="403" t="str">
        <f>IF(ISBLANK(F63),"-",(F63/$D$50*$D$47*$B$68)*($B$57/$D$60))</f>
        <v>-</v>
      </c>
      <c r="H63" s="402" t="str">
        <f t="shared" si="0"/>
        <v>-</v>
      </c>
    </row>
    <row r="64" spans="1:12" ht="26.25" customHeight="1" x14ac:dyDescent="0.4">
      <c r="A64" s="314" t="s">
        <v>110</v>
      </c>
      <c r="B64" s="319">
        <v>1</v>
      </c>
      <c r="C64" s="476" t="s">
        <v>146</v>
      </c>
      <c r="D64" s="461">
        <v>102.4</v>
      </c>
      <c r="E64" s="331">
        <v>1</v>
      </c>
      <c r="F64" s="407">
        <v>34390223</v>
      </c>
      <c r="G64" s="406">
        <f>IF(ISBLANK(F64),"-",(F64/$D$50*$D$47*$B$68)*($B$57/$D$64))</f>
        <v>6.1020696839520436</v>
      </c>
      <c r="H64" s="409">
        <f t="shared" si="0"/>
        <v>97.633114943232698</v>
      </c>
    </row>
    <row r="65" spans="1:8" ht="26.25" customHeight="1" x14ac:dyDescent="0.4">
      <c r="A65" s="314" t="s">
        <v>111</v>
      </c>
      <c r="B65" s="319">
        <v>1</v>
      </c>
      <c r="C65" s="477"/>
      <c r="D65" s="462"/>
      <c r="E65" s="327">
        <v>2</v>
      </c>
      <c r="F65" s="372">
        <v>34668669</v>
      </c>
      <c r="G65" s="403">
        <f>IF(ISBLANK(F65),"-",(F65/$D$50*$D$47*$B$68)*($B$57/$D$64))</f>
        <v>6.1514760776011252</v>
      </c>
      <c r="H65" s="402">
        <f t="shared" si="0"/>
        <v>98.423617241618004</v>
      </c>
    </row>
    <row r="66" spans="1:8" ht="26.25" customHeight="1" x14ac:dyDescent="0.4">
      <c r="A66" s="314" t="s">
        <v>112</v>
      </c>
      <c r="B66" s="319">
        <v>1</v>
      </c>
      <c r="C66" s="477"/>
      <c r="D66" s="462"/>
      <c r="E66" s="327">
        <v>3</v>
      </c>
      <c r="F66" s="372">
        <v>34762668</v>
      </c>
      <c r="G66" s="403">
        <f>IF(ISBLANK(F66),"-",(F66/$D$50*$D$47*$B$68)*($B$57/$D$64))</f>
        <v>6.1681549007719374</v>
      </c>
      <c r="H66" s="402">
        <f t="shared" si="0"/>
        <v>98.690478412350998</v>
      </c>
    </row>
    <row r="67" spans="1:8" ht="27" customHeight="1" thickBot="1" x14ac:dyDescent="0.45">
      <c r="A67" s="314" t="s">
        <v>113</v>
      </c>
      <c r="B67" s="319">
        <v>1</v>
      </c>
      <c r="C67" s="478"/>
      <c r="D67" s="463"/>
      <c r="E67" s="324">
        <v>4</v>
      </c>
      <c r="F67" s="401"/>
      <c r="G67" s="400" t="str">
        <f>IF(ISBLANK(F67),"-",(F67/$D$50*$D$47*$B$68)*($B$57/$D$64))</f>
        <v>-</v>
      </c>
      <c r="H67" s="399" t="str">
        <f t="shared" si="0"/>
        <v>-</v>
      </c>
    </row>
    <row r="68" spans="1:8" ht="26.25" customHeight="1" x14ac:dyDescent="0.4">
      <c r="A68" s="314" t="s">
        <v>114</v>
      </c>
      <c r="B68" s="408">
        <f>(B67/B66)*(B65/B64)*(B63/B62)*(B61/B60)*B59</f>
        <v>50</v>
      </c>
      <c r="C68" s="476" t="s">
        <v>145</v>
      </c>
      <c r="D68" s="461">
        <v>100.76</v>
      </c>
      <c r="E68" s="331">
        <v>1</v>
      </c>
      <c r="F68" s="407">
        <v>34483039</v>
      </c>
      <c r="G68" s="406">
        <f>IF(ISBLANK(F68),"-",(F68/$D$50*$D$47*$B$68)*($B$57/$D$68))</f>
        <v>6.2181257706717687</v>
      </c>
      <c r="H68" s="402">
        <f t="shared" si="0"/>
        <v>99.4900123307483</v>
      </c>
    </row>
    <row r="69" spans="1:8" ht="27" customHeight="1" thickBot="1" x14ac:dyDescent="0.45">
      <c r="A69" s="405" t="s">
        <v>144</v>
      </c>
      <c r="B69" s="404">
        <f>(D47*B68)/B56*B57</f>
        <v>101.5915</v>
      </c>
      <c r="C69" s="477"/>
      <c r="D69" s="462"/>
      <c r="E69" s="327">
        <v>2</v>
      </c>
      <c r="F69" s="372">
        <v>34510405</v>
      </c>
      <c r="G69" s="403">
        <f>IF(ISBLANK(F69),"-",(F69/$D$50*$D$47*$B$68)*($B$57/$D$68))</f>
        <v>6.2230605222126707</v>
      </c>
      <c r="H69" s="402">
        <f t="shared" si="0"/>
        <v>99.568968355402731</v>
      </c>
    </row>
    <row r="70" spans="1:8" ht="26.25" customHeight="1" x14ac:dyDescent="0.4">
      <c r="A70" s="483" t="s">
        <v>70</v>
      </c>
      <c r="B70" s="484"/>
      <c r="C70" s="477"/>
      <c r="D70" s="462"/>
      <c r="E70" s="327">
        <v>3</v>
      </c>
      <c r="F70" s="372">
        <v>34419345</v>
      </c>
      <c r="G70" s="403">
        <f>IF(ISBLANK(F70),"-",(F70/$D$50*$D$47*$B$68)*($B$57/$D$68))</f>
        <v>6.2066402022786482</v>
      </c>
      <c r="H70" s="402">
        <f t="shared" si="0"/>
        <v>99.306243236458371</v>
      </c>
    </row>
    <row r="71" spans="1:8" ht="27" customHeight="1" thickBot="1" x14ac:dyDescent="0.45">
      <c r="A71" s="485"/>
      <c r="B71" s="486"/>
      <c r="C71" s="482"/>
      <c r="D71" s="463"/>
      <c r="E71" s="324">
        <v>4</v>
      </c>
      <c r="F71" s="401"/>
      <c r="G71" s="400" t="str">
        <f>IF(ISBLANK(F71),"-",(F71/$D$50*$D$47*$B$68)*($B$57/$D$68))</f>
        <v>-</v>
      </c>
      <c r="H71" s="399" t="str">
        <f t="shared" si="0"/>
        <v>-</v>
      </c>
    </row>
    <row r="72" spans="1:8" ht="26.25" customHeight="1" x14ac:dyDescent="0.4">
      <c r="A72" s="283"/>
      <c r="B72" s="283"/>
      <c r="C72" s="283"/>
      <c r="D72" s="283"/>
      <c r="E72" s="283"/>
      <c r="F72" s="398" t="s">
        <v>63</v>
      </c>
      <c r="G72" s="397">
        <f>AVERAGE(G60:G71)</f>
        <v>6.1674775440461591</v>
      </c>
      <c r="H72" s="396">
        <f>AVERAGE(H60:H71)</f>
        <v>98.679640704738546</v>
      </c>
    </row>
    <row r="73" spans="1:8" ht="26.25" customHeight="1" x14ac:dyDescent="0.4">
      <c r="C73" s="283"/>
      <c r="D73" s="283"/>
      <c r="E73" s="283"/>
      <c r="F73" s="341" t="s">
        <v>76</v>
      </c>
      <c r="G73" s="311">
        <f>STDEV(G60:G71)/G72</f>
        <v>7.0134730960143537E-3</v>
      </c>
      <c r="H73" s="311">
        <f>STDEV(H60:H71)/H72</f>
        <v>7.0134730960143537E-3</v>
      </c>
    </row>
    <row r="74" spans="1:8" ht="27" customHeight="1" thickBot="1" x14ac:dyDescent="0.45">
      <c r="A74" s="283"/>
      <c r="B74" s="283"/>
      <c r="C74" s="283"/>
      <c r="D74" s="283"/>
      <c r="E74" s="284"/>
      <c r="F74" s="308" t="s">
        <v>20</v>
      </c>
      <c r="G74" s="395">
        <f>COUNT(G60:G71)</f>
        <v>9</v>
      </c>
      <c r="H74" s="395">
        <f>COUNT(H60:H71)</f>
        <v>9</v>
      </c>
    </row>
    <row r="76" spans="1:8" ht="26.25" customHeight="1" x14ac:dyDescent="0.4">
      <c r="A76" s="287" t="s">
        <v>131</v>
      </c>
      <c r="B76" s="295" t="s">
        <v>88</v>
      </c>
      <c r="C76" s="470" t="str">
        <f>B26</f>
        <v>carvedilol</v>
      </c>
      <c r="D76" s="470"/>
      <c r="E76" s="282" t="s">
        <v>89</v>
      </c>
      <c r="F76" s="282"/>
      <c r="G76" s="293">
        <f>H72</f>
        <v>98.679640704738546</v>
      </c>
      <c r="H76" s="393"/>
    </row>
    <row r="77" spans="1:8" ht="18.75" x14ac:dyDescent="0.3">
      <c r="A77" s="385" t="s">
        <v>97</v>
      </c>
      <c r="B77" s="385" t="s">
        <v>98</v>
      </c>
    </row>
    <row r="78" spans="1:8" ht="18.75" x14ac:dyDescent="0.3">
      <c r="A78" s="385"/>
      <c r="B78" s="385"/>
    </row>
    <row r="79" spans="1:8" ht="26.25" customHeight="1" x14ac:dyDescent="0.4">
      <c r="A79" s="287" t="s">
        <v>4</v>
      </c>
      <c r="B79" s="474" t="str">
        <f>B26</f>
        <v>carvedilol</v>
      </c>
      <c r="C79" s="474"/>
    </row>
    <row r="80" spans="1:8" ht="26.25" customHeight="1" x14ac:dyDescent="0.4">
      <c r="A80" s="295" t="s">
        <v>41</v>
      </c>
      <c r="B80" s="474" t="str">
        <f>B27</f>
        <v>c37-2</v>
      </c>
      <c r="C80" s="474"/>
    </row>
    <row r="81" spans="1:12" ht="27" customHeight="1" thickBot="1" x14ac:dyDescent="0.45">
      <c r="A81" s="295" t="s">
        <v>6</v>
      </c>
      <c r="B81" s="357">
        <f>B28</f>
        <v>99.4</v>
      </c>
    </row>
    <row r="82" spans="1:12" s="386" customFormat="1" ht="27" customHeight="1" thickBot="1" x14ac:dyDescent="0.45">
      <c r="A82" s="295" t="s">
        <v>42</v>
      </c>
      <c r="B82" s="394">
        <v>0</v>
      </c>
      <c r="C82" s="445" t="s">
        <v>99</v>
      </c>
      <c r="D82" s="446"/>
      <c r="E82" s="446"/>
      <c r="F82" s="446"/>
      <c r="G82" s="447"/>
      <c r="I82" s="387"/>
      <c r="J82" s="387"/>
      <c r="K82" s="387"/>
      <c r="L82" s="387"/>
    </row>
    <row r="83" spans="1:12" s="386" customFormat="1" ht="19.5" customHeight="1" thickBot="1" x14ac:dyDescent="0.35">
      <c r="A83" s="295" t="s">
        <v>44</v>
      </c>
      <c r="B83" s="393">
        <f>B81-B82</f>
        <v>99.4</v>
      </c>
      <c r="C83" s="392"/>
      <c r="D83" s="392"/>
      <c r="E83" s="392"/>
      <c r="F83" s="392"/>
      <c r="G83" s="391"/>
      <c r="I83" s="387"/>
      <c r="J83" s="387"/>
      <c r="K83" s="387"/>
      <c r="L83" s="387"/>
    </row>
    <row r="84" spans="1:12" s="386" customFormat="1" ht="27" customHeight="1" thickBot="1" x14ac:dyDescent="0.45">
      <c r="A84" s="295" t="s">
        <v>45</v>
      </c>
      <c r="B84" s="390">
        <v>1</v>
      </c>
      <c r="C84" s="448" t="s">
        <v>143</v>
      </c>
      <c r="D84" s="449"/>
      <c r="E84" s="449"/>
      <c r="F84" s="449"/>
      <c r="G84" s="449"/>
      <c r="H84" s="450"/>
      <c r="I84" s="387"/>
      <c r="J84" s="387"/>
      <c r="K84" s="387"/>
      <c r="L84" s="387"/>
    </row>
    <row r="85" spans="1:12" s="386" customFormat="1" ht="27" customHeight="1" thickBot="1" x14ac:dyDescent="0.45">
      <c r="A85" s="295" t="s">
        <v>47</v>
      </c>
      <c r="B85" s="390">
        <v>1</v>
      </c>
      <c r="C85" s="448" t="s">
        <v>142</v>
      </c>
      <c r="D85" s="449"/>
      <c r="E85" s="449"/>
      <c r="F85" s="449"/>
      <c r="G85" s="449"/>
      <c r="H85" s="450"/>
      <c r="I85" s="387"/>
      <c r="J85" s="387"/>
      <c r="K85" s="387"/>
      <c r="L85" s="387"/>
    </row>
    <row r="86" spans="1:12" s="386" customFormat="1" ht="18.75" x14ac:dyDescent="0.3">
      <c r="A86" s="295"/>
      <c r="B86" s="389"/>
      <c r="C86" s="296"/>
      <c r="D86" s="296"/>
      <c r="E86" s="296"/>
      <c r="F86" s="296"/>
      <c r="G86" s="296"/>
      <c r="H86" s="296"/>
      <c r="I86" s="387"/>
      <c r="J86" s="387"/>
      <c r="K86" s="387"/>
      <c r="L86" s="387"/>
    </row>
    <row r="87" spans="1:12" s="386" customFormat="1" ht="18.75" x14ac:dyDescent="0.3">
      <c r="A87" s="295" t="s">
        <v>49</v>
      </c>
      <c r="B87" s="388">
        <f>B84/B85</f>
        <v>1</v>
      </c>
      <c r="C87" s="282" t="s">
        <v>50</v>
      </c>
      <c r="D87" s="282"/>
      <c r="E87" s="282"/>
      <c r="F87" s="282"/>
      <c r="G87" s="282"/>
      <c r="I87" s="387"/>
      <c r="J87" s="387"/>
      <c r="K87" s="387"/>
      <c r="L87" s="387"/>
    </row>
    <row r="88" spans="1:12" ht="19.5" customHeight="1" thickBot="1" x14ac:dyDescent="0.35">
      <c r="A88" s="385"/>
      <c r="B88" s="385"/>
    </row>
    <row r="89" spans="1:12" ht="27" customHeight="1" thickBot="1" x14ac:dyDescent="0.45">
      <c r="A89" s="335" t="s">
        <v>141</v>
      </c>
      <c r="B89" s="334">
        <v>1</v>
      </c>
      <c r="D89" s="384" t="s">
        <v>52</v>
      </c>
      <c r="E89" s="383"/>
      <c r="F89" s="471" t="s">
        <v>53</v>
      </c>
      <c r="G89" s="473"/>
    </row>
    <row r="90" spans="1:12" ht="27" customHeight="1" thickBot="1" x14ac:dyDescent="0.45">
      <c r="A90" s="314" t="s">
        <v>54</v>
      </c>
      <c r="B90" s="319">
        <v>1</v>
      </c>
      <c r="C90" s="290" t="s">
        <v>55</v>
      </c>
      <c r="D90" s="381" t="s">
        <v>56</v>
      </c>
      <c r="E90" s="382" t="s">
        <v>57</v>
      </c>
      <c r="F90" s="381" t="s">
        <v>56</v>
      </c>
      <c r="G90" s="380" t="s">
        <v>57</v>
      </c>
      <c r="I90" s="379" t="s">
        <v>140</v>
      </c>
    </row>
    <row r="91" spans="1:12" ht="26.25" customHeight="1" x14ac:dyDescent="0.4">
      <c r="A91" s="314" t="s">
        <v>58</v>
      </c>
      <c r="B91" s="319">
        <v>1</v>
      </c>
      <c r="C91" s="378">
        <v>1</v>
      </c>
      <c r="D91" s="376"/>
      <c r="E91" s="377" t="str">
        <f>IF(ISBLANK(D91),"-",$D$101/$D$98*D91)</f>
        <v>-</v>
      </c>
      <c r="F91" s="376"/>
      <c r="G91" s="375" t="str">
        <f>IF(ISBLANK(F91),"-",$D$101/$F$98*F91)</f>
        <v>-</v>
      </c>
      <c r="I91" s="374"/>
    </row>
    <row r="92" spans="1:12" ht="26.25" customHeight="1" x14ac:dyDescent="0.4">
      <c r="A92" s="314" t="s">
        <v>59</v>
      </c>
      <c r="B92" s="319">
        <v>1</v>
      </c>
      <c r="C92" s="283">
        <v>2</v>
      </c>
      <c r="D92" s="372"/>
      <c r="E92" s="373" t="str">
        <f>IF(ISBLANK(D92),"-",$D$101/$D$98*D92)</f>
        <v>-</v>
      </c>
      <c r="F92" s="372"/>
      <c r="G92" s="371" t="str">
        <f>IF(ISBLANK(F92),"-",$D$101/$F$98*F92)</f>
        <v>-</v>
      </c>
      <c r="I92" s="475" t="e">
        <f>ABS((F96/D96*D95)-F95)/D95</f>
        <v>#DIV/0!</v>
      </c>
    </row>
    <row r="93" spans="1:12" ht="26.25" customHeight="1" x14ac:dyDescent="0.4">
      <c r="A93" s="314" t="s">
        <v>60</v>
      </c>
      <c r="B93" s="319">
        <v>1</v>
      </c>
      <c r="C93" s="283">
        <v>3</v>
      </c>
      <c r="D93" s="372"/>
      <c r="E93" s="373" t="str">
        <f>IF(ISBLANK(D93),"-",$D$101/$D$98*D93)</f>
        <v>-</v>
      </c>
      <c r="F93" s="372"/>
      <c r="G93" s="371" t="str">
        <f>IF(ISBLANK(F93),"-",$D$101/$F$98*F93)</f>
        <v>-</v>
      </c>
      <c r="I93" s="475"/>
    </row>
    <row r="94" spans="1:12" ht="27" customHeight="1" thickBot="1" x14ac:dyDescent="0.45">
      <c r="A94" s="314" t="s">
        <v>61</v>
      </c>
      <c r="B94" s="319">
        <v>1</v>
      </c>
      <c r="C94" s="370">
        <v>4</v>
      </c>
      <c r="D94" s="369"/>
      <c r="E94" s="368" t="str">
        <f>IF(ISBLANK(D94),"-",$D$101/$D$98*D94)</f>
        <v>-</v>
      </c>
      <c r="F94" s="367"/>
      <c r="G94" s="366" t="str">
        <f>IF(ISBLANK(F94),"-",$D$101/$F$98*F94)</f>
        <v>-</v>
      </c>
      <c r="I94" s="365"/>
    </row>
    <row r="95" spans="1:12" ht="27" customHeight="1" thickBot="1" x14ac:dyDescent="0.45">
      <c r="A95" s="314" t="s">
        <v>62</v>
      </c>
      <c r="B95" s="319">
        <v>1</v>
      </c>
      <c r="C95" s="295" t="s">
        <v>63</v>
      </c>
      <c r="D95" s="364" t="e">
        <f>AVERAGE(D91:D94)</f>
        <v>#DIV/0!</v>
      </c>
      <c r="E95" s="363" t="e">
        <f>AVERAGE(E91:E94)</f>
        <v>#DIV/0!</v>
      </c>
      <c r="F95" s="362" t="e">
        <f>AVERAGE(F91:F94)</f>
        <v>#DIV/0!</v>
      </c>
      <c r="G95" s="361" t="e">
        <f>AVERAGE(G91:G94)</f>
        <v>#DIV/0!</v>
      </c>
    </row>
    <row r="96" spans="1:12" ht="26.25" customHeight="1" x14ac:dyDescent="0.4">
      <c r="A96" s="314" t="s">
        <v>64</v>
      </c>
      <c r="B96" s="357">
        <v>1</v>
      </c>
      <c r="C96" s="360" t="s">
        <v>65</v>
      </c>
      <c r="D96" s="359"/>
      <c r="E96" s="282"/>
      <c r="F96" s="358"/>
    </row>
    <row r="97" spans="1:10" ht="26.25" customHeight="1" x14ac:dyDescent="0.4">
      <c r="A97" s="314" t="s">
        <v>66</v>
      </c>
      <c r="B97" s="357">
        <v>1</v>
      </c>
      <c r="C97" s="350" t="s">
        <v>67</v>
      </c>
      <c r="D97" s="349">
        <f>D96*$B$87</f>
        <v>0</v>
      </c>
      <c r="E97" s="283"/>
      <c r="F97" s="356">
        <f>F96*$B$87</f>
        <v>0</v>
      </c>
    </row>
    <row r="98" spans="1:10" ht="19.5" customHeight="1" thickBot="1" x14ac:dyDescent="0.35">
      <c r="A98" s="314" t="s">
        <v>68</v>
      </c>
      <c r="B98" s="283">
        <f>(B97/B96)*(B95/B94)*(B93/B92)*(B91/B90)*B89</f>
        <v>1</v>
      </c>
      <c r="C98" s="350" t="s">
        <v>139</v>
      </c>
      <c r="D98" s="355">
        <f>D97*$B$83/100</f>
        <v>0</v>
      </c>
      <c r="E98" s="284"/>
      <c r="F98" s="354">
        <f>F97*$B$83/100</f>
        <v>0</v>
      </c>
    </row>
    <row r="99" spans="1:10" ht="19.5" customHeight="1" thickBot="1" x14ac:dyDescent="0.35">
      <c r="A99" s="466" t="s">
        <v>70</v>
      </c>
      <c r="B99" s="480"/>
      <c r="C99" s="350" t="s">
        <v>138</v>
      </c>
      <c r="D99" s="353">
        <f>D98/$B$98</f>
        <v>0</v>
      </c>
      <c r="E99" s="284"/>
      <c r="F99" s="352">
        <f>F98/$B$98</f>
        <v>0</v>
      </c>
      <c r="H99" s="337"/>
    </row>
    <row r="100" spans="1:10" ht="19.5" customHeight="1" thickBot="1" x14ac:dyDescent="0.35">
      <c r="A100" s="468"/>
      <c r="B100" s="481"/>
      <c r="C100" s="350" t="s">
        <v>137</v>
      </c>
      <c r="D100" s="351">
        <f>$B$56/$B$116</f>
        <v>6.25</v>
      </c>
      <c r="F100" s="348"/>
      <c r="G100" s="342"/>
      <c r="H100" s="337"/>
    </row>
    <row r="101" spans="1:10" ht="18.75" x14ac:dyDescent="0.3">
      <c r="C101" s="350" t="s">
        <v>73</v>
      </c>
      <c r="D101" s="349">
        <f>D100*$B$98</f>
        <v>6.25</v>
      </c>
      <c r="F101" s="348"/>
      <c r="H101" s="337"/>
    </row>
    <row r="102" spans="1:10" ht="19.5" customHeight="1" thickBot="1" x14ac:dyDescent="0.35">
      <c r="C102" s="347" t="s">
        <v>74</v>
      </c>
      <c r="D102" s="346">
        <f>D101/B34</f>
        <v>6.25</v>
      </c>
      <c r="F102" s="338"/>
      <c r="H102" s="337"/>
      <c r="J102" s="345"/>
    </row>
    <row r="103" spans="1:10" ht="18.75" x14ac:dyDescent="0.3">
      <c r="C103" s="344" t="s">
        <v>136</v>
      </c>
      <c r="D103" s="343" t="e">
        <f>AVERAGE(E91:E94,G91:G94)</f>
        <v>#DIV/0!</v>
      </c>
      <c r="F103" s="338"/>
      <c r="G103" s="342"/>
      <c r="H103" s="337"/>
      <c r="J103" s="305"/>
    </row>
    <row r="104" spans="1:10" ht="18.75" x14ac:dyDescent="0.3">
      <c r="C104" s="341" t="s">
        <v>76</v>
      </c>
      <c r="D104" s="340" t="e">
        <f>STDEV(E91:E94,G91:G94)/D103</f>
        <v>#DIV/0!</v>
      </c>
      <c r="F104" s="338"/>
      <c r="H104" s="337"/>
      <c r="J104" s="305"/>
    </row>
    <row r="105" spans="1:10" ht="19.5" customHeight="1" thickBot="1" x14ac:dyDescent="0.35">
      <c r="C105" s="308" t="s">
        <v>20</v>
      </c>
      <c r="D105" s="339">
        <f>COUNT(E91:E94,G91:G94)</f>
        <v>0</v>
      </c>
      <c r="F105" s="338"/>
      <c r="H105" s="337"/>
      <c r="J105" s="305"/>
    </row>
    <row r="106" spans="1:10" ht="19.5" customHeight="1" thickBot="1" x14ac:dyDescent="0.35">
      <c r="A106" s="336"/>
      <c r="B106" s="336"/>
      <c r="C106" s="336"/>
      <c r="D106" s="336"/>
      <c r="E106" s="336"/>
    </row>
    <row r="107" spans="1:10" ht="27" customHeight="1" thickBot="1" x14ac:dyDescent="0.45">
      <c r="A107" s="335" t="s">
        <v>102</v>
      </c>
      <c r="B107" s="334">
        <v>1</v>
      </c>
      <c r="C107" s="333" t="s">
        <v>135</v>
      </c>
      <c r="D107" s="333" t="s">
        <v>56</v>
      </c>
      <c r="E107" s="333" t="s">
        <v>104</v>
      </c>
      <c r="F107" s="332" t="s">
        <v>105</v>
      </c>
    </row>
    <row r="108" spans="1:10" ht="26.25" customHeight="1" x14ac:dyDescent="0.4">
      <c r="A108" s="314" t="s">
        <v>106</v>
      </c>
      <c r="B108" s="319">
        <v>1</v>
      </c>
      <c r="C108" s="331">
        <v>1</v>
      </c>
      <c r="D108" s="330"/>
      <c r="E108" s="329" t="str">
        <f t="shared" ref="E108:E113" si="1">IF(ISBLANK(D108),"-",D108/$D$103*$D$100*$B$116)</f>
        <v>-</v>
      </c>
      <c r="F108" s="328" t="str">
        <f t="shared" ref="F108:F113" si="2">IF(ISBLANK(D108), "-", (E108/$B$56)*100)</f>
        <v>-</v>
      </c>
    </row>
    <row r="109" spans="1:10" ht="26.25" customHeight="1" x14ac:dyDescent="0.4">
      <c r="A109" s="314" t="s">
        <v>107</v>
      </c>
      <c r="B109" s="319">
        <v>1</v>
      </c>
      <c r="C109" s="327">
        <v>2</v>
      </c>
      <c r="D109" s="326"/>
      <c r="E109" s="325" t="str">
        <f t="shared" si="1"/>
        <v>-</v>
      </c>
      <c r="F109" s="320" t="str">
        <f t="shared" si="2"/>
        <v>-</v>
      </c>
    </row>
    <row r="110" spans="1:10" ht="26.25" customHeight="1" x14ac:dyDescent="0.4">
      <c r="A110" s="314" t="s">
        <v>108</v>
      </c>
      <c r="B110" s="319">
        <v>1</v>
      </c>
      <c r="C110" s="327">
        <v>3</v>
      </c>
      <c r="D110" s="326"/>
      <c r="E110" s="325" t="str">
        <f t="shared" si="1"/>
        <v>-</v>
      </c>
      <c r="F110" s="320" t="str">
        <f t="shared" si="2"/>
        <v>-</v>
      </c>
    </row>
    <row r="111" spans="1:10" ht="26.25" customHeight="1" x14ac:dyDescent="0.4">
      <c r="A111" s="314" t="s">
        <v>109</v>
      </c>
      <c r="B111" s="319">
        <v>1</v>
      </c>
      <c r="C111" s="327">
        <v>4</v>
      </c>
      <c r="D111" s="326"/>
      <c r="E111" s="325" t="str">
        <f t="shared" si="1"/>
        <v>-</v>
      </c>
      <c r="F111" s="320" t="str">
        <f t="shared" si="2"/>
        <v>-</v>
      </c>
    </row>
    <row r="112" spans="1:10" ht="26.25" customHeight="1" x14ac:dyDescent="0.4">
      <c r="A112" s="314" t="s">
        <v>110</v>
      </c>
      <c r="B112" s="319">
        <v>1</v>
      </c>
      <c r="C112" s="327">
        <v>5</v>
      </c>
      <c r="D112" s="326"/>
      <c r="E112" s="325" t="str">
        <f t="shared" si="1"/>
        <v>-</v>
      </c>
      <c r="F112" s="320" t="str">
        <f t="shared" si="2"/>
        <v>-</v>
      </c>
    </row>
    <row r="113" spans="1:10" ht="27" customHeight="1" thickBot="1" x14ac:dyDescent="0.45">
      <c r="A113" s="314" t="s">
        <v>111</v>
      </c>
      <c r="B113" s="319">
        <v>1</v>
      </c>
      <c r="C113" s="324">
        <v>6</v>
      </c>
      <c r="D113" s="323"/>
      <c r="E113" s="322" t="str">
        <f t="shared" si="1"/>
        <v>-</v>
      </c>
      <c r="F113" s="321" t="str">
        <f t="shared" si="2"/>
        <v>-</v>
      </c>
    </row>
    <row r="114" spans="1:10" ht="27" customHeight="1" thickBot="1" x14ac:dyDescent="0.45">
      <c r="A114" s="314" t="s">
        <v>112</v>
      </c>
      <c r="B114" s="319">
        <v>1</v>
      </c>
      <c r="C114" s="318"/>
      <c r="D114" s="283"/>
      <c r="E114" s="282"/>
      <c r="F114" s="320"/>
    </row>
    <row r="115" spans="1:10" ht="26.25" customHeight="1" x14ac:dyDescent="0.4">
      <c r="A115" s="314" t="s">
        <v>113</v>
      </c>
      <c r="B115" s="319">
        <v>1</v>
      </c>
      <c r="C115" s="318"/>
      <c r="D115" s="317" t="s">
        <v>63</v>
      </c>
      <c r="E115" s="316" t="e">
        <f>AVERAGE(E108:E113)</f>
        <v>#DIV/0!</v>
      </c>
      <c r="F115" s="315" t="e">
        <f>AVERAGE(F108:F113)</f>
        <v>#DIV/0!</v>
      </c>
    </row>
    <row r="116" spans="1:10" ht="27" customHeight="1" thickBot="1" x14ac:dyDescent="0.45">
      <c r="A116" s="314" t="s">
        <v>114</v>
      </c>
      <c r="B116" s="313">
        <f>(B115/B114)*(B113/B112)*(B111/B110)*(B109/B108)*B107</f>
        <v>1</v>
      </c>
      <c r="C116" s="312"/>
      <c r="D116" s="303" t="s">
        <v>76</v>
      </c>
      <c r="E116" s="311" t="e">
        <f>STDEV(E108:E113)/E115</f>
        <v>#DIV/0!</v>
      </c>
      <c r="F116" s="310" t="e">
        <f>STDEV(F108:F113)/F115</f>
        <v>#DIV/0!</v>
      </c>
      <c r="I116" s="282"/>
    </row>
    <row r="117" spans="1:10" ht="27" customHeight="1" thickBot="1" x14ac:dyDescent="0.45">
      <c r="A117" s="466" t="s">
        <v>70</v>
      </c>
      <c r="B117" s="467"/>
      <c r="C117" s="309"/>
      <c r="D117" s="308" t="s">
        <v>20</v>
      </c>
      <c r="E117" s="307">
        <f>COUNT(E108:E113)</f>
        <v>0</v>
      </c>
      <c r="F117" s="306">
        <f>COUNT(F108:F113)</f>
        <v>0</v>
      </c>
      <c r="I117" s="282"/>
      <c r="J117" s="305"/>
    </row>
    <row r="118" spans="1:10" ht="26.25" customHeight="1" thickBot="1" x14ac:dyDescent="0.35">
      <c r="A118" s="468"/>
      <c r="B118" s="469"/>
      <c r="C118" s="282"/>
      <c r="D118" s="304"/>
      <c r="E118" s="459" t="s">
        <v>134</v>
      </c>
      <c r="F118" s="460"/>
      <c r="G118" s="282"/>
      <c r="H118" s="282"/>
      <c r="I118" s="282"/>
    </row>
    <row r="119" spans="1:10" ht="25.5" customHeight="1" x14ac:dyDescent="0.4">
      <c r="A119" s="297"/>
      <c r="B119" s="296"/>
      <c r="C119" s="282"/>
      <c r="D119" s="303" t="s">
        <v>133</v>
      </c>
      <c r="E119" s="302">
        <f>MIN(E108:E113)</f>
        <v>0</v>
      </c>
      <c r="F119" s="301">
        <f>MIN(F108:F113)</f>
        <v>0</v>
      </c>
      <c r="G119" s="282"/>
      <c r="H119" s="282"/>
      <c r="I119" s="282"/>
    </row>
    <row r="120" spans="1:10" ht="24" customHeight="1" thickBot="1" x14ac:dyDescent="0.45">
      <c r="A120" s="297"/>
      <c r="B120" s="296"/>
      <c r="C120" s="282"/>
      <c r="D120" s="300" t="s">
        <v>132</v>
      </c>
      <c r="E120" s="299">
        <f>MAX(E108:E113)</f>
        <v>0</v>
      </c>
      <c r="F120" s="298">
        <f>MAX(F108:F113)</f>
        <v>0</v>
      </c>
      <c r="G120" s="282"/>
      <c r="H120" s="282"/>
      <c r="I120" s="282"/>
    </row>
    <row r="121" spans="1:10" ht="27" customHeight="1" x14ac:dyDescent="0.3">
      <c r="A121" s="297"/>
      <c r="B121" s="296"/>
      <c r="C121" s="282"/>
      <c r="D121" s="282"/>
      <c r="E121" s="282"/>
      <c r="F121" s="283"/>
      <c r="G121" s="282"/>
      <c r="H121" s="282"/>
      <c r="I121" s="282"/>
    </row>
    <row r="122" spans="1:10" ht="25.5" customHeight="1" x14ac:dyDescent="0.3">
      <c r="A122" s="297"/>
      <c r="B122" s="296"/>
      <c r="C122" s="282"/>
      <c r="D122" s="282"/>
      <c r="E122" s="282"/>
      <c r="F122" s="283"/>
      <c r="G122" s="282"/>
      <c r="H122" s="282"/>
      <c r="I122" s="282"/>
    </row>
    <row r="123" spans="1:10" ht="18.75" x14ac:dyDescent="0.3">
      <c r="A123" s="297"/>
      <c r="B123" s="296"/>
      <c r="C123" s="282"/>
      <c r="D123" s="282"/>
      <c r="E123" s="282"/>
      <c r="F123" s="283"/>
      <c r="G123" s="282"/>
      <c r="H123" s="282"/>
      <c r="I123" s="282"/>
    </row>
    <row r="124" spans="1:10" ht="45.75" customHeight="1" x14ac:dyDescent="0.65">
      <c r="A124" s="287" t="s">
        <v>131</v>
      </c>
      <c r="B124" s="295" t="s">
        <v>115</v>
      </c>
      <c r="C124" s="470" t="str">
        <f>B26</f>
        <v>carvedilol</v>
      </c>
      <c r="D124" s="470"/>
      <c r="E124" s="282" t="s">
        <v>116</v>
      </c>
      <c r="F124" s="282"/>
      <c r="G124" s="294" t="e">
        <f>F115</f>
        <v>#DIV/0!</v>
      </c>
      <c r="H124" s="282"/>
      <c r="I124" s="282"/>
    </row>
    <row r="125" spans="1:10" ht="45.75" customHeight="1" x14ac:dyDescent="0.65">
      <c r="A125" s="287"/>
      <c r="B125" s="295" t="s">
        <v>130</v>
      </c>
      <c r="C125" s="295" t="s">
        <v>129</v>
      </c>
      <c r="D125" s="294">
        <f>MIN(F108:F113)</f>
        <v>0</v>
      </c>
      <c r="E125" s="295" t="s">
        <v>128</v>
      </c>
      <c r="F125" s="294">
        <f>MAX(F108:F113)</f>
        <v>0</v>
      </c>
      <c r="G125" s="293"/>
      <c r="H125" s="282"/>
      <c r="I125" s="282"/>
    </row>
    <row r="126" spans="1:10" ht="19.5" customHeight="1" thickBot="1" x14ac:dyDescent="0.35">
      <c r="A126" s="292"/>
      <c r="B126" s="292"/>
      <c r="C126" s="291"/>
      <c r="D126" s="291"/>
      <c r="E126" s="291"/>
      <c r="F126" s="291"/>
      <c r="G126" s="291"/>
      <c r="H126" s="291"/>
    </row>
    <row r="127" spans="1:10" ht="18.75" x14ac:dyDescent="0.3">
      <c r="B127" s="458" t="s">
        <v>26</v>
      </c>
      <c r="C127" s="458"/>
      <c r="E127" s="290" t="s">
        <v>27</v>
      </c>
      <c r="F127" s="289"/>
      <c r="G127" s="458" t="s">
        <v>28</v>
      </c>
      <c r="H127" s="458"/>
    </row>
    <row r="128" spans="1:10" ht="69.95" customHeight="1" x14ac:dyDescent="0.3">
      <c r="A128" s="287" t="s">
        <v>29</v>
      </c>
      <c r="B128" s="288"/>
      <c r="C128" s="288"/>
      <c r="E128" s="288"/>
      <c r="F128" s="282"/>
      <c r="G128" s="288"/>
      <c r="H128" s="288"/>
    </row>
    <row r="129" spans="1:9" ht="69.95" customHeight="1" x14ac:dyDescent="0.3">
      <c r="A129" s="287" t="s">
        <v>30</v>
      </c>
      <c r="B129" s="286"/>
      <c r="C129" s="286"/>
      <c r="E129" s="286"/>
      <c r="F129" s="282"/>
      <c r="G129" s="285"/>
      <c r="H129" s="285"/>
    </row>
    <row r="130" spans="1:9" ht="18.75" x14ac:dyDescent="0.3">
      <c r="A130" s="283"/>
      <c r="B130" s="283"/>
      <c r="C130" s="283"/>
      <c r="D130" s="283"/>
      <c r="E130" s="283"/>
      <c r="F130" s="284"/>
      <c r="G130" s="283"/>
      <c r="H130" s="283"/>
      <c r="I130" s="282"/>
    </row>
    <row r="131" spans="1:9" ht="18.75" x14ac:dyDescent="0.3">
      <c r="A131" s="283"/>
      <c r="B131" s="283"/>
      <c r="C131" s="283"/>
      <c r="D131" s="283"/>
      <c r="E131" s="283"/>
      <c r="F131" s="284"/>
      <c r="G131" s="283"/>
      <c r="H131" s="283"/>
      <c r="I131" s="282"/>
    </row>
    <row r="132" spans="1:9" ht="18.75" x14ac:dyDescent="0.3">
      <c r="A132" s="283"/>
      <c r="B132" s="283"/>
      <c r="C132" s="283"/>
      <c r="D132" s="283"/>
      <c r="E132" s="283"/>
      <c r="F132" s="284"/>
      <c r="G132" s="283"/>
      <c r="H132" s="283"/>
      <c r="I132" s="282"/>
    </row>
    <row r="133" spans="1:9" ht="18.75" x14ac:dyDescent="0.3">
      <c r="A133" s="283"/>
      <c r="B133" s="283"/>
      <c r="C133" s="283"/>
      <c r="D133" s="283"/>
      <c r="E133" s="283"/>
      <c r="F133" s="284"/>
      <c r="G133" s="283"/>
      <c r="H133" s="283"/>
      <c r="I133" s="282"/>
    </row>
    <row r="134" spans="1:9" ht="18.75" x14ac:dyDescent="0.3">
      <c r="A134" s="283"/>
      <c r="B134" s="283"/>
      <c r="C134" s="283"/>
      <c r="D134" s="283"/>
      <c r="E134" s="283"/>
      <c r="F134" s="284"/>
      <c r="G134" s="283"/>
      <c r="H134" s="283"/>
      <c r="I134" s="282"/>
    </row>
    <row r="135" spans="1:9" ht="18.75" x14ac:dyDescent="0.3">
      <c r="A135" s="283"/>
      <c r="B135" s="283"/>
      <c r="C135" s="283"/>
      <c r="D135" s="283"/>
      <c r="E135" s="283"/>
      <c r="F135" s="284"/>
      <c r="G135" s="283"/>
      <c r="H135" s="283"/>
      <c r="I135" s="282"/>
    </row>
    <row r="136" spans="1:9" ht="18.75" x14ac:dyDescent="0.3">
      <c r="A136" s="283"/>
      <c r="B136" s="283"/>
      <c r="C136" s="283"/>
      <c r="D136" s="283"/>
      <c r="E136" s="283"/>
      <c r="F136" s="284"/>
      <c r="G136" s="283"/>
      <c r="H136" s="283"/>
      <c r="I136" s="282"/>
    </row>
    <row r="137" spans="1:9" ht="18.75" x14ac:dyDescent="0.3">
      <c r="A137" s="283"/>
      <c r="B137" s="283"/>
      <c r="C137" s="283"/>
      <c r="D137" s="283"/>
      <c r="E137" s="283"/>
      <c r="F137" s="284"/>
      <c r="G137" s="283"/>
      <c r="H137" s="283"/>
      <c r="I137" s="282"/>
    </row>
    <row r="138" spans="1:9" ht="18.75" x14ac:dyDescent="0.3">
      <c r="A138" s="283"/>
      <c r="B138" s="283"/>
      <c r="C138" s="283"/>
      <c r="D138" s="283"/>
      <c r="E138" s="283"/>
      <c r="F138" s="284"/>
      <c r="G138" s="283"/>
      <c r="H138" s="283"/>
      <c r="I138" s="282"/>
    </row>
    <row r="250" spans="1:1" x14ac:dyDescent="0.25">
      <c r="A250" s="281">
        <v>0</v>
      </c>
    </row>
  </sheetData>
  <sheetProtection password="F258" sheet="1" objects="1" scenarios="1" formatCells="0" formatColumns="0"/>
  <mergeCells count="37">
    <mergeCell ref="I92:I93"/>
    <mergeCell ref="A99:B100"/>
    <mergeCell ref="C68:C71"/>
    <mergeCell ref="D68:D71"/>
    <mergeCell ref="A70:B71"/>
    <mergeCell ref="C76:D76"/>
    <mergeCell ref="D64:D67"/>
    <mergeCell ref="A1:I7"/>
    <mergeCell ref="A8:I14"/>
    <mergeCell ref="A117:B118"/>
    <mergeCell ref="C124:D124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B26:C26"/>
    <mergeCell ref="B127:C127"/>
    <mergeCell ref="G127:H127"/>
    <mergeCell ref="C82:G82"/>
    <mergeCell ref="C84:H84"/>
    <mergeCell ref="C85:H85"/>
    <mergeCell ref="E118:F118"/>
    <mergeCell ref="F89:G89"/>
    <mergeCell ref="B27:C27"/>
    <mergeCell ref="C29:G29"/>
    <mergeCell ref="C31:H31"/>
    <mergeCell ref="A16:H16"/>
    <mergeCell ref="A17:H17"/>
    <mergeCell ref="B18:C18"/>
    <mergeCell ref="B20:C20"/>
    <mergeCell ref="B21:H21"/>
  </mergeCells>
  <conditionalFormatting sqref="E51">
    <cfRule type="cellIs" dxfId="32" priority="1" operator="greaterThan">
      <formula>0.02</formula>
    </cfRule>
  </conditionalFormatting>
  <conditionalFormatting sqref="D51">
    <cfRule type="cellIs" dxfId="31" priority="2" operator="greaterThan">
      <formula>0.02</formula>
    </cfRule>
  </conditionalFormatting>
  <conditionalFormatting sqref="G73">
    <cfRule type="cellIs" dxfId="30" priority="3" operator="greaterThan">
      <formula>0.02</formula>
    </cfRule>
  </conditionalFormatting>
  <conditionalFormatting sqref="H73">
    <cfRule type="cellIs" dxfId="29" priority="4" operator="greaterThan">
      <formula>0.02</formula>
    </cfRule>
  </conditionalFormatting>
  <conditionalFormatting sqref="D104">
    <cfRule type="cellIs" dxfId="28" priority="5" operator="greaterThan">
      <formula>0.02</formula>
    </cfRule>
  </conditionalFormatting>
  <conditionalFormatting sqref="I39">
    <cfRule type="cellIs" dxfId="27" priority="6" operator="lessThanOrEqual">
      <formula>0.02</formula>
    </cfRule>
  </conditionalFormatting>
  <conditionalFormatting sqref="I39">
    <cfRule type="cellIs" dxfId="26" priority="7" operator="greaterThan">
      <formula>0.02</formula>
    </cfRule>
  </conditionalFormatting>
  <conditionalFormatting sqref="I92">
    <cfRule type="cellIs" dxfId="25" priority="8" operator="lessThanOrEqual">
      <formula>0.02</formula>
    </cfRule>
  </conditionalFormatting>
  <conditionalFormatting sqref="I92">
    <cfRule type="cellIs" dxfId="24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15" sqref="C15"/>
    </sheetView>
  </sheetViews>
  <sheetFormatPr defaultRowHeight="15" x14ac:dyDescent="0.3"/>
  <cols>
    <col min="1" max="1" width="15.5703125" style="240" customWidth="1"/>
    <col min="2" max="2" width="18.42578125" style="240" customWidth="1"/>
    <col min="3" max="3" width="14.28515625" style="240" customWidth="1"/>
    <col min="4" max="4" width="15" style="240" customWidth="1"/>
    <col min="5" max="5" width="9.140625" style="240" customWidth="1"/>
    <col min="6" max="6" width="27.85546875" style="240" customWidth="1"/>
    <col min="7" max="7" width="12.28515625" style="240" customWidth="1"/>
    <col min="8" max="8" width="9.140625" style="240" customWidth="1"/>
    <col min="9" max="16384" width="9.140625" style="236"/>
  </cols>
  <sheetData>
    <row r="10" spans="1:7" ht="13.5" customHeight="1" thickBot="1" x14ac:dyDescent="0.35"/>
    <row r="11" spans="1:7" ht="13.5" customHeight="1" thickBot="1" x14ac:dyDescent="0.35">
      <c r="A11" s="489" t="s">
        <v>33</v>
      </c>
      <c r="B11" s="490"/>
      <c r="C11" s="490"/>
      <c r="D11" s="490"/>
      <c r="E11" s="490"/>
      <c r="F11" s="491"/>
      <c r="G11" s="241"/>
    </row>
    <row r="12" spans="1:7" ht="16.5" customHeight="1" x14ac:dyDescent="0.3">
      <c r="A12" s="492" t="s">
        <v>122</v>
      </c>
      <c r="B12" s="492"/>
      <c r="C12" s="492"/>
      <c r="D12" s="492"/>
      <c r="E12" s="492"/>
      <c r="F12" s="492"/>
      <c r="G12" s="237"/>
    </row>
    <row r="14" spans="1:7" ht="16.5" customHeight="1" x14ac:dyDescent="0.3">
      <c r="A14" s="493" t="s">
        <v>35</v>
      </c>
      <c r="B14" s="493"/>
      <c r="C14" s="238" t="s">
        <v>5</v>
      </c>
    </row>
    <row r="15" spans="1:7" ht="16.5" customHeight="1" x14ac:dyDescent="0.3">
      <c r="A15" s="493" t="s">
        <v>36</v>
      </c>
      <c r="B15" s="493"/>
      <c r="C15" s="238" t="s">
        <v>7</v>
      </c>
    </row>
    <row r="16" spans="1:7" ht="16.5" customHeight="1" x14ac:dyDescent="0.3">
      <c r="A16" s="493" t="s">
        <v>37</v>
      </c>
      <c r="B16" s="493"/>
      <c r="C16" s="238" t="s">
        <v>9</v>
      </c>
    </row>
    <row r="17" spans="1:5" ht="16.5" customHeight="1" x14ac:dyDescent="0.3">
      <c r="A17" s="493" t="s">
        <v>38</v>
      </c>
      <c r="B17" s="493"/>
      <c r="C17" s="238" t="s">
        <v>11</v>
      </c>
    </row>
    <row r="18" spans="1:5" ht="16.5" customHeight="1" x14ac:dyDescent="0.3">
      <c r="A18" s="493" t="s">
        <v>39</v>
      </c>
      <c r="B18" s="493"/>
      <c r="C18" s="242" t="s">
        <v>12</v>
      </c>
    </row>
    <row r="19" spans="1:5" ht="16.5" customHeight="1" x14ac:dyDescent="0.3">
      <c r="A19" s="493" t="s">
        <v>40</v>
      </c>
      <c r="B19" s="493"/>
      <c r="C19" s="242" t="e">
        <f>#REF!</f>
        <v>#REF!</v>
      </c>
    </row>
    <row r="20" spans="1:5" ht="16.5" customHeight="1" x14ac:dyDescent="0.3">
      <c r="A20" s="243"/>
      <c r="B20" s="243"/>
      <c r="C20" s="244"/>
    </row>
    <row r="21" spans="1:5" ht="16.5" customHeight="1" x14ac:dyDescent="0.3">
      <c r="A21" s="492" t="s">
        <v>1</v>
      </c>
      <c r="B21" s="492"/>
      <c r="C21" s="245" t="s">
        <v>123</v>
      </c>
      <c r="D21" s="246"/>
    </row>
    <row r="22" spans="1:5" ht="15.75" customHeight="1" thickBot="1" x14ac:dyDescent="0.35">
      <c r="A22" s="494"/>
      <c r="B22" s="494"/>
      <c r="C22" s="247"/>
      <c r="D22" s="494"/>
      <c r="E22" s="494"/>
    </row>
    <row r="23" spans="1:5" ht="33.75" customHeight="1" thickBot="1" x14ac:dyDescent="0.35">
      <c r="C23" s="248" t="s">
        <v>124</v>
      </c>
      <c r="D23" s="249" t="s">
        <v>125</v>
      </c>
      <c r="E23" s="250"/>
    </row>
    <row r="24" spans="1:5" ht="15.75" customHeight="1" x14ac:dyDescent="0.3">
      <c r="C24" s="251">
        <v>101.61</v>
      </c>
      <c r="D24" s="252">
        <f t="shared" ref="D24:D43" si="0">(C24-$C$46)/$C$46</f>
        <v>1.8210184907204905E-4</v>
      </c>
      <c r="E24" s="253"/>
    </row>
    <row r="25" spans="1:5" ht="15.75" customHeight="1" x14ac:dyDescent="0.3">
      <c r="C25" s="251">
        <v>102</v>
      </c>
      <c r="D25" s="254">
        <f t="shared" si="0"/>
        <v>4.0210056943740732E-3</v>
      </c>
      <c r="E25" s="253"/>
    </row>
    <row r="26" spans="1:5" ht="15.75" customHeight="1" x14ac:dyDescent="0.3">
      <c r="C26" s="251">
        <v>101.84</v>
      </c>
      <c r="D26" s="254">
        <f t="shared" si="0"/>
        <v>2.4460707834809709E-3</v>
      </c>
      <c r="E26" s="253"/>
    </row>
    <row r="27" spans="1:5" ht="15.75" customHeight="1" x14ac:dyDescent="0.3">
      <c r="C27" s="251">
        <v>100.92</v>
      </c>
      <c r="D27" s="254">
        <f t="shared" si="0"/>
        <v>-6.6098049541545769E-3</v>
      </c>
      <c r="E27" s="253"/>
    </row>
    <row r="28" spans="1:5" ht="15.75" customHeight="1" x14ac:dyDescent="0.3">
      <c r="C28" s="251">
        <v>100.88</v>
      </c>
      <c r="D28" s="254">
        <f t="shared" si="0"/>
        <v>-7.0035386818779223E-3</v>
      </c>
      <c r="E28" s="253"/>
    </row>
    <row r="29" spans="1:5" ht="15.75" customHeight="1" x14ac:dyDescent="0.3">
      <c r="C29" s="251">
        <v>100.21</v>
      </c>
      <c r="D29" s="254">
        <f t="shared" si="0"/>
        <v>-1.3598578621242946E-2</v>
      </c>
      <c r="E29" s="253"/>
    </row>
    <row r="30" spans="1:5" ht="15.75" customHeight="1" x14ac:dyDescent="0.3">
      <c r="C30" s="251">
        <v>103.27</v>
      </c>
      <c r="D30" s="254">
        <f t="shared" si="0"/>
        <v>1.6522051549588298E-2</v>
      </c>
      <c r="E30" s="253"/>
    </row>
    <row r="31" spans="1:5" ht="15.75" customHeight="1" x14ac:dyDescent="0.3">
      <c r="C31" s="251">
        <v>101.57</v>
      </c>
      <c r="D31" s="254">
        <f t="shared" si="0"/>
        <v>-2.1163187865129646E-4</v>
      </c>
      <c r="E31" s="253"/>
    </row>
    <row r="32" spans="1:5" ht="15.75" customHeight="1" x14ac:dyDescent="0.3">
      <c r="C32" s="251">
        <v>101.08</v>
      </c>
      <c r="D32" s="254">
        <f t="shared" si="0"/>
        <v>-5.0348700432614746E-3</v>
      </c>
      <c r="E32" s="253"/>
    </row>
    <row r="33" spans="1:7" ht="15.75" customHeight="1" x14ac:dyDescent="0.3">
      <c r="C33" s="251">
        <v>102.14</v>
      </c>
      <c r="D33" s="254">
        <f t="shared" si="0"/>
        <v>5.3990737414055722E-3</v>
      </c>
      <c r="E33" s="253"/>
    </row>
    <row r="34" spans="1:7" ht="15.75" customHeight="1" x14ac:dyDescent="0.3">
      <c r="C34" s="251">
        <v>103.9</v>
      </c>
      <c r="D34" s="254">
        <f t="shared" si="0"/>
        <v>2.2723357761230117E-2</v>
      </c>
      <c r="E34" s="253"/>
    </row>
    <row r="35" spans="1:7" ht="15.75" customHeight="1" x14ac:dyDescent="0.3">
      <c r="C35" s="251">
        <v>101.81</v>
      </c>
      <c r="D35" s="254">
        <f t="shared" si="0"/>
        <v>2.1507704876884966E-3</v>
      </c>
      <c r="E35" s="253"/>
    </row>
    <row r="36" spans="1:7" ht="15.75" customHeight="1" x14ac:dyDescent="0.3">
      <c r="C36" s="251">
        <v>101.36</v>
      </c>
      <c r="D36" s="254">
        <f t="shared" si="0"/>
        <v>-2.2787339491984757E-3</v>
      </c>
      <c r="E36" s="253"/>
    </row>
    <row r="37" spans="1:7" ht="15.75" customHeight="1" x14ac:dyDescent="0.3">
      <c r="C37" s="251">
        <v>98.46</v>
      </c>
      <c r="D37" s="254">
        <f t="shared" si="0"/>
        <v>-3.0824429209136618E-2</v>
      </c>
      <c r="E37" s="253"/>
    </row>
    <row r="38" spans="1:7" ht="15.75" customHeight="1" x14ac:dyDescent="0.3">
      <c r="C38" s="251">
        <v>101.36</v>
      </c>
      <c r="D38" s="254">
        <f t="shared" si="0"/>
        <v>-2.2787339491984757E-3</v>
      </c>
      <c r="E38" s="253"/>
    </row>
    <row r="39" spans="1:7" ht="15.75" customHeight="1" x14ac:dyDescent="0.3">
      <c r="C39" s="251">
        <v>100.82</v>
      </c>
      <c r="D39" s="254">
        <f t="shared" si="0"/>
        <v>-7.5941392734628702E-3</v>
      </c>
      <c r="E39" s="253"/>
    </row>
    <row r="40" spans="1:7" ht="15.75" customHeight="1" x14ac:dyDescent="0.3">
      <c r="C40" s="251">
        <v>102.06</v>
      </c>
      <c r="D40" s="254">
        <f t="shared" si="0"/>
        <v>4.6116062859590211E-3</v>
      </c>
      <c r="E40" s="253"/>
    </row>
    <row r="41" spans="1:7" ht="15.75" customHeight="1" x14ac:dyDescent="0.3">
      <c r="C41" s="251">
        <v>102.9</v>
      </c>
      <c r="D41" s="254">
        <f t="shared" si="0"/>
        <v>1.2880014568148019E-2</v>
      </c>
      <c r="E41" s="253"/>
    </row>
    <row r="42" spans="1:7" ht="15.75" customHeight="1" x14ac:dyDescent="0.3">
      <c r="C42" s="251">
        <v>103.46</v>
      </c>
      <c r="D42" s="254">
        <f t="shared" si="0"/>
        <v>1.8392286756273874E-2</v>
      </c>
      <c r="E42" s="253"/>
    </row>
    <row r="43" spans="1:7" ht="16.5" customHeight="1" thickBot="1" x14ac:dyDescent="0.35">
      <c r="C43" s="255">
        <v>100.18</v>
      </c>
      <c r="D43" s="256">
        <f t="shared" si="0"/>
        <v>-1.3893878917035279E-2</v>
      </c>
      <c r="E43" s="253"/>
    </row>
    <row r="44" spans="1:7" ht="16.5" customHeight="1" thickBot="1" x14ac:dyDescent="0.35">
      <c r="C44" s="257"/>
      <c r="D44" s="253"/>
      <c r="E44" s="258"/>
    </row>
    <row r="45" spans="1:7" ht="16.5" customHeight="1" thickBot="1" x14ac:dyDescent="0.35">
      <c r="B45" s="259" t="s">
        <v>126</v>
      </c>
      <c r="C45" s="260">
        <f>SUM(C24:C44)</f>
        <v>2031.83</v>
      </c>
      <c r="D45" s="261"/>
      <c r="E45" s="257"/>
    </row>
    <row r="46" spans="1:7" ht="17.25" customHeight="1" thickBot="1" x14ac:dyDescent="0.35">
      <c r="B46" s="259" t="s">
        <v>92</v>
      </c>
      <c r="C46" s="262">
        <f>AVERAGE(C24:C44)</f>
        <v>101.5915</v>
      </c>
      <c r="E46" s="263"/>
    </row>
    <row r="47" spans="1:7" ht="17.25" customHeight="1" thickBot="1" x14ac:dyDescent="0.35">
      <c r="A47" s="238"/>
      <c r="B47" s="264"/>
      <c r="D47" s="265"/>
      <c r="E47" s="263"/>
    </row>
    <row r="48" spans="1:7" ht="33.75" customHeight="1" thickBot="1" x14ac:dyDescent="0.35">
      <c r="B48" s="266" t="s">
        <v>92</v>
      </c>
      <c r="C48" s="249" t="s">
        <v>127</v>
      </c>
      <c r="D48" s="267"/>
      <c r="G48" s="265"/>
    </row>
    <row r="49" spans="1:6" ht="17.25" customHeight="1" thickBot="1" x14ac:dyDescent="0.35">
      <c r="B49" s="487">
        <f>C46</f>
        <v>101.5915</v>
      </c>
      <c r="C49" s="268">
        <f>-IF(C46&lt;=80,10%,IF(C46&lt;250,7.5%,5%))</f>
        <v>-7.4999999999999997E-2</v>
      </c>
      <c r="D49" s="269">
        <f>IF(C46&lt;=80,C46*0.9,IF(C46&lt;250,C46*0.925,C46*0.95))</f>
        <v>93.972137500000002</v>
      </c>
    </row>
    <row r="50" spans="1:6" ht="17.25" customHeight="1" thickBot="1" x14ac:dyDescent="0.35">
      <c r="B50" s="488"/>
      <c r="C50" s="270">
        <f>IF(C46&lt;=80, 10%, IF(C46&lt;250, 7.5%, 5%))</f>
        <v>7.4999999999999997E-2</v>
      </c>
      <c r="D50" s="269">
        <f>IF(C46&lt;=80, C46*1.1, IF(C46&lt;250, C46*1.075, C46*1.05))</f>
        <v>109.21086249999999</v>
      </c>
    </row>
    <row r="51" spans="1:6" ht="16.5" customHeight="1" thickBot="1" x14ac:dyDescent="0.35">
      <c r="A51" s="271"/>
      <c r="B51" s="239"/>
      <c r="C51" s="238"/>
      <c r="D51" s="272"/>
      <c r="E51" s="238"/>
      <c r="F51" s="246"/>
    </row>
    <row r="52" spans="1:6" ht="16.5" customHeight="1" x14ac:dyDescent="0.3">
      <c r="A52" s="238"/>
      <c r="B52" s="273" t="s">
        <v>26</v>
      </c>
      <c r="C52" s="273"/>
      <c r="D52" s="274" t="s">
        <v>27</v>
      </c>
      <c r="E52" s="275"/>
      <c r="F52" s="274" t="s">
        <v>28</v>
      </c>
    </row>
    <row r="53" spans="1:6" ht="34.5" customHeight="1" x14ac:dyDescent="0.3">
      <c r="A53" s="243" t="s">
        <v>29</v>
      </c>
      <c r="B53" s="276"/>
      <c r="C53" s="238"/>
      <c r="D53" s="276"/>
      <c r="E53" s="238"/>
      <c r="F53" s="276"/>
    </row>
    <row r="54" spans="1:6" ht="34.5" customHeight="1" x14ac:dyDescent="0.3">
      <c r="A54" s="243" t="s">
        <v>30</v>
      </c>
      <c r="B54" s="277"/>
      <c r="C54" s="278"/>
      <c r="D54" s="277"/>
      <c r="E54" s="238"/>
      <c r="F54" s="279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E19" sqref="E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95" t="s">
        <v>0</v>
      </c>
      <c r="B15" s="495"/>
      <c r="C15" s="495"/>
      <c r="D15" s="495"/>
      <c r="E15" s="49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36529803</v>
      </c>
      <c r="C24" s="18">
        <v>2143.1999999999998</v>
      </c>
      <c r="D24" s="19">
        <v>1.19</v>
      </c>
      <c r="E24" s="20">
        <v>4.88</v>
      </c>
    </row>
    <row r="25" spans="1:6" ht="16.5" customHeight="1" x14ac:dyDescent="0.3">
      <c r="A25" s="17">
        <v>2</v>
      </c>
      <c r="B25" s="18">
        <v>36581592</v>
      </c>
      <c r="C25" s="18">
        <v>2123.1799999999998</v>
      </c>
      <c r="D25" s="19">
        <v>1.18</v>
      </c>
      <c r="E25" s="19">
        <v>4.88</v>
      </c>
    </row>
    <row r="26" spans="1:6" ht="16.5" customHeight="1" x14ac:dyDescent="0.3">
      <c r="A26" s="17">
        <v>3</v>
      </c>
      <c r="B26" s="18">
        <v>36481925</v>
      </c>
      <c r="C26" s="18">
        <v>2090.44</v>
      </c>
      <c r="D26" s="19">
        <v>1.18</v>
      </c>
      <c r="E26" s="19">
        <v>4.8899999999999997</v>
      </c>
    </row>
    <row r="27" spans="1:6" ht="16.5" customHeight="1" x14ac:dyDescent="0.3">
      <c r="A27" s="17">
        <v>4</v>
      </c>
      <c r="B27" s="18">
        <v>36722088</v>
      </c>
      <c r="C27" s="18">
        <v>2077.2199999999998</v>
      </c>
      <c r="D27" s="19">
        <v>1.18</v>
      </c>
      <c r="E27" s="19">
        <v>4.88</v>
      </c>
    </row>
    <row r="28" spans="1:6" ht="16.5" customHeight="1" x14ac:dyDescent="0.3">
      <c r="A28" s="17">
        <v>5</v>
      </c>
      <c r="B28" s="18">
        <v>36554377</v>
      </c>
      <c r="C28" s="18">
        <v>2059.36</v>
      </c>
      <c r="D28" s="19">
        <v>1.18</v>
      </c>
      <c r="E28" s="19">
        <v>4.88</v>
      </c>
    </row>
    <row r="29" spans="1:6" ht="16.5" customHeight="1" x14ac:dyDescent="0.3">
      <c r="A29" s="17">
        <v>6</v>
      </c>
      <c r="B29" s="21">
        <v>36577140</v>
      </c>
      <c r="C29" s="21">
        <v>2046.65</v>
      </c>
      <c r="D29" s="22">
        <v>1.18</v>
      </c>
      <c r="E29" s="22">
        <v>4.88</v>
      </c>
    </row>
    <row r="30" spans="1:6" ht="16.5" customHeight="1" x14ac:dyDescent="0.3">
      <c r="A30" s="23" t="s">
        <v>18</v>
      </c>
      <c r="B30" s="24">
        <f>AVERAGE(B24:B29)</f>
        <v>36574487.5</v>
      </c>
      <c r="C30" s="25">
        <f>AVERAGE(C24:C29)</f>
        <v>2090.0083333333332</v>
      </c>
      <c r="D30" s="26">
        <f>AVERAGE(D24:D29)</f>
        <v>1.1816666666666664</v>
      </c>
      <c r="E30" s="26">
        <f>AVERAGE(E24:E29)</f>
        <v>4.8816666666666659</v>
      </c>
    </row>
    <row r="31" spans="1:6" ht="16.5" customHeight="1" x14ac:dyDescent="0.3">
      <c r="A31" s="27" t="s">
        <v>19</v>
      </c>
      <c r="B31" s="28">
        <f>(STDEV(B24:B29)/B30)</f>
        <v>2.2149072844720083E-3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96" t="s">
        <v>26</v>
      </c>
      <c r="C59" s="49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55" zoomScale="51" zoomScaleNormal="70" zoomScaleSheetLayoutView="51" workbookViewId="0">
      <selection activeCell="E79" sqref="E79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509" t="s">
        <v>31</v>
      </c>
      <c r="B1" s="509"/>
      <c r="C1" s="509"/>
      <c r="D1" s="509"/>
      <c r="E1" s="509"/>
      <c r="F1" s="509"/>
      <c r="G1" s="509"/>
    </row>
    <row r="2" spans="1:7" x14ac:dyDescent="0.2">
      <c r="A2" s="509"/>
      <c r="B2" s="509"/>
      <c r="C2" s="509"/>
      <c r="D2" s="509"/>
      <c r="E2" s="509"/>
      <c r="F2" s="509"/>
      <c r="G2" s="509"/>
    </row>
    <row r="3" spans="1:7" x14ac:dyDescent="0.2">
      <c r="A3" s="509"/>
      <c r="B3" s="509"/>
      <c r="C3" s="509"/>
      <c r="D3" s="509"/>
      <c r="E3" s="509"/>
      <c r="F3" s="509"/>
      <c r="G3" s="509"/>
    </row>
    <row r="4" spans="1:7" x14ac:dyDescent="0.2">
      <c r="A4" s="509"/>
      <c r="B4" s="509"/>
      <c r="C4" s="509"/>
      <c r="D4" s="509"/>
      <c r="E4" s="509"/>
      <c r="F4" s="509"/>
      <c r="G4" s="509"/>
    </row>
    <row r="5" spans="1:7" x14ac:dyDescent="0.2">
      <c r="A5" s="509"/>
      <c r="B5" s="509"/>
      <c r="C5" s="509"/>
      <c r="D5" s="509"/>
      <c r="E5" s="509"/>
      <c r="F5" s="509"/>
      <c r="G5" s="509"/>
    </row>
    <row r="6" spans="1:7" x14ac:dyDescent="0.2">
      <c r="A6" s="509"/>
      <c r="B6" s="509"/>
      <c r="C6" s="509"/>
      <c r="D6" s="509"/>
      <c r="E6" s="509"/>
      <c r="F6" s="509"/>
      <c r="G6" s="509"/>
    </row>
    <row r="7" spans="1:7" x14ac:dyDescent="0.2">
      <c r="A7" s="509"/>
      <c r="B7" s="509"/>
      <c r="C7" s="509"/>
      <c r="D7" s="509"/>
      <c r="E7" s="509"/>
      <c r="F7" s="509"/>
      <c r="G7" s="509"/>
    </row>
    <row r="8" spans="1:7" x14ac:dyDescent="0.2">
      <c r="A8" s="510" t="s">
        <v>32</v>
      </c>
      <c r="B8" s="510"/>
      <c r="C8" s="510"/>
      <c r="D8" s="510"/>
      <c r="E8" s="510"/>
      <c r="F8" s="510"/>
      <c r="G8" s="510"/>
    </row>
    <row r="9" spans="1:7" x14ac:dyDescent="0.2">
      <c r="A9" s="510"/>
      <c r="B9" s="510"/>
      <c r="C9" s="510"/>
      <c r="D9" s="510"/>
      <c r="E9" s="510"/>
      <c r="F9" s="510"/>
      <c r="G9" s="510"/>
    </row>
    <row r="10" spans="1:7" x14ac:dyDescent="0.2">
      <c r="A10" s="510"/>
      <c r="B10" s="510"/>
      <c r="C10" s="510"/>
      <c r="D10" s="510"/>
      <c r="E10" s="510"/>
      <c r="F10" s="510"/>
      <c r="G10" s="510"/>
    </row>
    <row r="11" spans="1:7" x14ac:dyDescent="0.2">
      <c r="A11" s="510"/>
      <c r="B11" s="510"/>
      <c r="C11" s="510"/>
      <c r="D11" s="510"/>
      <c r="E11" s="510"/>
      <c r="F11" s="510"/>
      <c r="G11" s="510"/>
    </row>
    <row r="12" spans="1:7" x14ac:dyDescent="0.2">
      <c r="A12" s="510"/>
      <c r="B12" s="510"/>
      <c r="C12" s="510"/>
      <c r="D12" s="510"/>
      <c r="E12" s="510"/>
      <c r="F12" s="510"/>
      <c r="G12" s="510"/>
    </row>
    <row r="13" spans="1:7" x14ac:dyDescent="0.2">
      <c r="A13" s="510"/>
      <c r="B13" s="510"/>
      <c r="C13" s="510"/>
      <c r="D13" s="510"/>
      <c r="E13" s="510"/>
      <c r="F13" s="510"/>
      <c r="G13" s="510"/>
    </row>
    <row r="14" spans="1:7" x14ac:dyDescent="0.2">
      <c r="A14" s="510"/>
      <c r="B14" s="510"/>
      <c r="C14" s="510"/>
      <c r="D14" s="510"/>
      <c r="E14" s="510"/>
      <c r="F14" s="510"/>
      <c r="G14" s="510"/>
    </row>
    <row r="15" spans="1:7" ht="19.5" customHeight="1" x14ac:dyDescent="0.3">
      <c r="A15" s="52"/>
      <c r="B15" s="52"/>
      <c r="C15" s="52"/>
      <c r="D15" s="52"/>
      <c r="E15" s="52"/>
      <c r="F15" s="52"/>
      <c r="G15" s="52"/>
    </row>
    <row r="16" spans="1:7" ht="19.5" customHeight="1" x14ac:dyDescent="0.3">
      <c r="A16" s="497" t="s">
        <v>33</v>
      </c>
      <c r="B16" s="498"/>
      <c r="C16" s="498"/>
      <c r="D16" s="498"/>
      <c r="E16" s="498"/>
      <c r="F16" s="498"/>
      <c r="G16" s="498"/>
    </row>
    <row r="17" spans="1:7" ht="18.75" customHeight="1" x14ac:dyDescent="0.3">
      <c r="A17" s="53" t="s">
        <v>34</v>
      </c>
      <c r="B17" s="53"/>
      <c r="C17" s="52"/>
      <c r="D17" s="52"/>
      <c r="E17" s="52"/>
      <c r="F17" s="52"/>
      <c r="G17" s="52"/>
    </row>
    <row r="18" spans="1:7" ht="26.25" customHeight="1" x14ac:dyDescent="0.4">
      <c r="A18" s="54" t="s">
        <v>35</v>
      </c>
      <c r="B18" s="455" t="s">
        <v>5</v>
      </c>
      <c r="C18" s="455"/>
      <c r="D18" s="55"/>
      <c r="E18" s="55"/>
      <c r="F18" s="52"/>
      <c r="G18" s="52"/>
    </row>
    <row r="19" spans="1:7" ht="26.25" customHeight="1" x14ac:dyDescent="0.4">
      <c r="A19" s="54" t="s">
        <v>36</v>
      </c>
      <c r="B19" s="229" t="s">
        <v>7</v>
      </c>
      <c r="C19" s="52">
        <v>36</v>
      </c>
      <c r="E19" s="52"/>
      <c r="F19" s="52"/>
      <c r="G19" s="52"/>
    </row>
    <row r="20" spans="1:7" ht="26.25" customHeight="1" x14ac:dyDescent="0.4">
      <c r="A20" s="54" t="s">
        <v>37</v>
      </c>
      <c r="B20" s="456" t="s">
        <v>117</v>
      </c>
      <c r="C20" s="456"/>
      <c r="D20" s="52"/>
      <c r="E20" s="52"/>
      <c r="F20" s="52"/>
      <c r="G20" s="52"/>
    </row>
    <row r="21" spans="1:7" ht="26.25" customHeight="1" x14ac:dyDescent="0.4">
      <c r="A21" s="54" t="s">
        <v>38</v>
      </c>
      <c r="B21" s="56" t="s">
        <v>11</v>
      </c>
      <c r="C21" s="56"/>
      <c r="D21" s="57"/>
      <c r="E21" s="57"/>
      <c r="F21" s="57"/>
      <c r="G21" s="57"/>
    </row>
    <row r="22" spans="1:7" ht="26.25" customHeight="1" x14ac:dyDescent="0.4">
      <c r="A22" s="54" t="s">
        <v>39</v>
      </c>
      <c r="B22" s="58" t="s">
        <v>12</v>
      </c>
      <c r="C22" s="59"/>
      <c r="D22" s="52"/>
      <c r="E22" s="52"/>
      <c r="F22" s="52"/>
      <c r="G22" s="52"/>
    </row>
    <row r="23" spans="1:7" ht="26.25" customHeight="1" x14ac:dyDescent="0.4">
      <c r="A23" s="54" t="s">
        <v>40</v>
      </c>
      <c r="B23" s="58"/>
      <c r="C23" s="59"/>
      <c r="D23" s="52"/>
      <c r="E23" s="52"/>
      <c r="F23" s="52"/>
      <c r="G23" s="52"/>
    </row>
    <row r="24" spans="1:7" ht="18.75" customHeight="1" x14ac:dyDescent="0.3">
      <c r="A24" s="54"/>
      <c r="B24" s="60"/>
      <c r="C24" s="52"/>
      <c r="D24" s="52"/>
      <c r="E24" s="52"/>
      <c r="F24" s="52"/>
      <c r="G24" s="52"/>
    </row>
    <row r="25" spans="1:7" ht="18.75" customHeight="1" x14ac:dyDescent="0.3">
      <c r="A25" s="61" t="s">
        <v>1</v>
      </c>
      <c r="B25" s="60"/>
      <c r="C25" s="52"/>
      <c r="D25" s="52"/>
      <c r="E25" s="52"/>
      <c r="F25" s="52"/>
      <c r="G25" s="52"/>
    </row>
    <row r="26" spans="1:7" ht="26.25" customHeight="1" x14ac:dyDescent="0.4">
      <c r="A26" s="62" t="s">
        <v>4</v>
      </c>
      <c r="B26" s="455" t="s">
        <v>120</v>
      </c>
      <c r="C26" s="455"/>
      <c r="D26" s="52"/>
      <c r="E26" s="52"/>
      <c r="F26" s="52"/>
      <c r="G26" s="52"/>
    </row>
    <row r="27" spans="1:7" ht="26.25" customHeight="1" x14ac:dyDescent="0.4">
      <c r="A27" s="63" t="s">
        <v>41</v>
      </c>
      <c r="B27" s="456" t="s">
        <v>121</v>
      </c>
      <c r="C27" s="456"/>
      <c r="D27" s="52"/>
      <c r="E27" s="52"/>
      <c r="F27" s="52"/>
      <c r="G27" s="52"/>
    </row>
    <row r="28" spans="1:7" ht="27" customHeight="1" x14ac:dyDescent="0.4">
      <c r="A28" s="63" t="s">
        <v>6</v>
      </c>
      <c r="B28" s="64">
        <v>99.4</v>
      </c>
      <c r="C28" s="52"/>
      <c r="D28" s="52"/>
      <c r="E28" s="52"/>
      <c r="F28" s="52"/>
      <c r="G28" s="52"/>
    </row>
    <row r="29" spans="1:7" ht="27" customHeight="1" x14ac:dyDescent="0.4">
      <c r="A29" s="63" t="s">
        <v>42</v>
      </c>
      <c r="B29" s="65">
        <v>0</v>
      </c>
      <c r="C29" s="499" t="s">
        <v>43</v>
      </c>
      <c r="D29" s="500"/>
      <c r="E29" s="500"/>
      <c r="F29" s="500"/>
      <c r="G29" s="501"/>
    </row>
    <row r="30" spans="1:7" ht="19.5" customHeight="1" x14ac:dyDescent="0.3">
      <c r="A30" s="63" t="s">
        <v>44</v>
      </c>
      <c r="B30" s="67">
        <f>B28-B29</f>
        <v>99.4</v>
      </c>
      <c r="C30" s="68"/>
      <c r="D30" s="68"/>
      <c r="E30" s="68"/>
      <c r="F30" s="68"/>
      <c r="G30" s="68"/>
    </row>
    <row r="31" spans="1:7" ht="27" customHeight="1" x14ac:dyDescent="0.4">
      <c r="A31" s="63" t="s">
        <v>45</v>
      </c>
      <c r="B31" s="69">
        <v>1</v>
      </c>
      <c r="C31" s="499" t="s">
        <v>46</v>
      </c>
      <c r="D31" s="500"/>
      <c r="E31" s="500"/>
      <c r="F31" s="500"/>
      <c r="G31" s="501"/>
    </row>
    <row r="32" spans="1:7" ht="27" customHeight="1" x14ac:dyDescent="0.4">
      <c r="A32" s="63" t="s">
        <v>47</v>
      </c>
      <c r="B32" s="69">
        <v>1</v>
      </c>
      <c r="C32" s="499" t="s">
        <v>48</v>
      </c>
      <c r="D32" s="500"/>
      <c r="E32" s="500"/>
      <c r="F32" s="500"/>
      <c r="G32" s="501"/>
    </row>
    <row r="33" spans="1:7" ht="18.75" customHeight="1" x14ac:dyDescent="0.3">
      <c r="A33" s="63"/>
      <c r="B33" s="70"/>
      <c r="C33" s="71"/>
      <c r="D33" s="71"/>
      <c r="E33" s="71"/>
      <c r="F33" s="71"/>
      <c r="G33" s="71"/>
    </row>
    <row r="34" spans="1:7" ht="18.75" customHeight="1" x14ac:dyDescent="0.3">
      <c r="A34" s="63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</row>
    <row r="35" spans="1:7" ht="19.5" customHeight="1" x14ac:dyDescent="0.3">
      <c r="A35" s="63"/>
      <c r="B35" s="67"/>
      <c r="C35" s="66"/>
      <c r="D35" s="66"/>
      <c r="E35" s="66"/>
      <c r="F35" s="66"/>
      <c r="G35" s="52"/>
    </row>
    <row r="36" spans="1:7" ht="27" customHeight="1" x14ac:dyDescent="0.4">
      <c r="A36" s="73" t="s">
        <v>51</v>
      </c>
      <c r="B36" s="74">
        <v>100</v>
      </c>
      <c r="C36" s="52"/>
      <c r="D36" s="502" t="s">
        <v>52</v>
      </c>
      <c r="E36" s="503"/>
      <c r="F36" s="502" t="s">
        <v>53</v>
      </c>
      <c r="G36" s="504"/>
    </row>
    <row r="37" spans="1:7" ht="26.25" customHeight="1" x14ac:dyDescent="0.4">
      <c r="A37" s="75" t="s">
        <v>54</v>
      </c>
      <c r="B37" s="76">
        <v>1</v>
      </c>
      <c r="C37" s="77" t="s">
        <v>55</v>
      </c>
      <c r="D37" s="78" t="s">
        <v>56</v>
      </c>
      <c r="E37" s="79" t="s">
        <v>57</v>
      </c>
      <c r="F37" s="78" t="s">
        <v>56</v>
      </c>
      <c r="G37" s="80" t="s">
        <v>57</v>
      </c>
    </row>
    <row r="38" spans="1:7" ht="26.25" customHeight="1" x14ac:dyDescent="0.4">
      <c r="A38" s="75" t="s">
        <v>58</v>
      </c>
      <c r="B38" s="76">
        <v>1</v>
      </c>
      <c r="C38" s="81">
        <v>1</v>
      </c>
      <c r="D38" s="82">
        <v>36500905</v>
      </c>
      <c r="E38" s="83">
        <f>IF(ISBLANK(D38),"-",$D$48/$D$45*D38)</f>
        <v>34985930.253778771</v>
      </c>
      <c r="F38" s="82">
        <v>34066315</v>
      </c>
      <c r="G38" s="84">
        <f>IF(ISBLANK(F38),"-",$D$48/$F$45*F38)</f>
        <v>34800920.674330302</v>
      </c>
    </row>
    <row r="39" spans="1:7" ht="26.25" customHeight="1" x14ac:dyDescent="0.4">
      <c r="A39" s="75" t="s">
        <v>59</v>
      </c>
      <c r="B39" s="76">
        <v>1</v>
      </c>
      <c r="C39" s="85">
        <v>2</v>
      </c>
      <c r="D39" s="86">
        <v>36605339</v>
      </c>
      <c r="E39" s="87">
        <f>IF(ISBLANK(D39),"-",$D$48/$D$45*D39)</f>
        <v>35086029.707206659</v>
      </c>
      <c r="F39" s="86">
        <v>34050615</v>
      </c>
      <c r="G39" s="88">
        <f>IF(ISBLANK(F39),"-",$D$48/$F$45*F39)</f>
        <v>34784882.119688071</v>
      </c>
    </row>
    <row r="40" spans="1:7" ht="26.25" customHeight="1" x14ac:dyDescent="0.4">
      <c r="A40" s="75" t="s">
        <v>60</v>
      </c>
      <c r="B40" s="76">
        <v>1</v>
      </c>
      <c r="C40" s="85">
        <v>3</v>
      </c>
      <c r="D40" s="86">
        <v>36438422</v>
      </c>
      <c r="E40" s="87">
        <f>IF(ISBLANK(D40),"-",$D$48/$D$45*D40)</f>
        <v>34926040.618712276</v>
      </c>
      <c r="F40" s="86">
        <v>34350398</v>
      </c>
      <c r="G40" s="88">
        <f>IF(ISBLANK(F40),"-",$D$48/$F$45*F40)</f>
        <v>35091129.637287572</v>
      </c>
    </row>
    <row r="41" spans="1:7" ht="26.25" customHeight="1" x14ac:dyDescent="0.4">
      <c r="A41" s="75" t="s">
        <v>61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</row>
    <row r="42" spans="1:7" ht="27" customHeight="1" x14ac:dyDescent="0.4">
      <c r="A42" s="75" t="s">
        <v>62</v>
      </c>
      <c r="B42" s="76">
        <v>1</v>
      </c>
      <c r="C42" s="93" t="s">
        <v>63</v>
      </c>
      <c r="D42" s="94">
        <f>AVERAGE(D38:D41)</f>
        <v>36514888.666666664</v>
      </c>
      <c r="E42" s="95">
        <f>AVERAGE(E38:E41)</f>
        <v>34999333.526565902</v>
      </c>
      <c r="F42" s="94">
        <f>AVERAGE(F38:F41)</f>
        <v>34155776</v>
      </c>
      <c r="G42" s="96">
        <f>AVERAGE(G38:G41)</f>
        <v>34892310.810435317</v>
      </c>
    </row>
    <row r="43" spans="1:7" ht="26.25" customHeight="1" x14ac:dyDescent="0.4">
      <c r="A43" s="75" t="s">
        <v>64</v>
      </c>
      <c r="B43" s="76">
        <v>1</v>
      </c>
      <c r="C43" s="97" t="s">
        <v>65</v>
      </c>
      <c r="D43" s="98">
        <v>13.12</v>
      </c>
      <c r="E43" s="99"/>
      <c r="F43" s="98">
        <v>12.31</v>
      </c>
      <c r="G43" s="52"/>
    </row>
    <row r="44" spans="1:7" ht="26.25" customHeight="1" x14ac:dyDescent="0.4">
      <c r="A44" s="75" t="s">
        <v>66</v>
      </c>
      <c r="B44" s="76">
        <v>1</v>
      </c>
      <c r="C44" s="100" t="s">
        <v>67</v>
      </c>
      <c r="D44" s="101">
        <f>D43*$B$34</f>
        <v>13.12</v>
      </c>
      <c r="E44" s="102"/>
      <c r="F44" s="101">
        <f>F43*$B$34</f>
        <v>12.31</v>
      </c>
      <c r="G44" s="52"/>
    </row>
    <row r="45" spans="1:7" ht="19.5" customHeight="1" x14ac:dyDescent="0.3">
      <c r="A45" s="75" t="s">
        <v>68</v>
      </c>
      <c r="B45" s="103">
        <f>(B44/B43)*(B42/B41)*(B40/B39)*(B38/B37)*B36</f>
        <v>100</v>
      </c>
      <c r="C45" s="100" t="s">
        <v>69</v>
      </c>
      <c r="D45" s="104">
        <f>D44*$B$30/100</f>
        <v>13.041279999999999</v>
      </c>
      <c r="E45" s="105"/>
      <c r="F45" s="104">
        <f>F44*$B$30/100</f>
        <v>12.236140000000001</v>
      </c>
      <c r="G45" s="52"/>
    </row>
    <row r="46" spans="1:7" ht="19.5" customHeight="1" x14ac:dyDescent="0.3">
      <c r="A46" s="505" t="s">
        <v>70</v>
      </c>
      <c r="B46" s="506"/>
      <c r="C46" s="100" t="s">
        <v>71</v>
      </c>
      <c r="D46" s="101">
        <f>D45/$B$45</f>
        <v>0.1304128</v>
      </c>
      <c r="E46" s="105"/>
      <c r="F46" s="106">
        <f>F45/$B$45</f>
        <v>0.12236140000000001</v>
      </c>
      <c r="G46" s="52"/>
    </row>
    <row r="47" spans="1:7" ht="27" customHeight="1" x14ac:dyDescent="0.4">
      <c r="A47" s="507"/>
      <c r="B47" s="508"/>
      <c r="C47" s="107" t="s">
        <v>72</v>
      </c>
      <c r="D47" s="108">
        <v>0.125</v>
      </c>
      <c r="E47" s="52"/>
      <c r="F47" s="109"/>
      <c r="G47" s="52"/>
    </row>
    <row r="48" spans="1:7" ht="18.75" customHeight="1" x14ac:dyDescent="0.3">
      <c r="A48" s="52"/>
      <c r="B48" s="52"/>
      <c r="C48" s="110" t="s">
        <v>73</v>
      </c>
      <c r="D48" s="104">
        <f>D47*$B$45</f>
        <v>12.5</v>
      </c>
      <c r="E48" s="52"/>
      <c r="F48" s="109"/>
      <c r="G48" s="52"/>
    </row>
    <row r="49" spans="1:7" ht="19.5" customHeight="1" x14ac:dyDescent="0.3">
      <c r="A49" s="52"/>
      <c r="B49" s="52"/>
      <c r="C49" s="111" t="s">
        <v>74</v>
      </c>
      <c r="D49" s="112">
        <f>D48/B34</f>
        <v>12.5</v>
      </c>
      <c r="E49" s="52"/>
      <c r="F49" s="109"/>
      <c r="G49" s="52"/>
    </row>
    <row r="50" spans="1:7" ht="18.75" customHeight="1" x14ac:dyDescent="0.3">
      <c r="A50" s="52"/>
      <c r="B50" s="52"/>
      <c r="C50" s="73" t="s">
        <v>75</v>
      </c>
      <c r="D50" s="113">
        <f>AVERAGE(E38:E41,G38:G41)</f>
        <v>34945822.168500602</v>
      </c>
      <c r="E50" s="52"/>
      <c r="F50" s="114"/>
      <c r="G50" s="52"/>
    </row>
    <row r="51" spans="1:7" ht="18.75" customHeight="1" x14ac:dyDescent="0.3">
      <c r="A51" s="52"/>
      <c r="B51" s="52"/>
      <c r="C51" s="75" t="s">
        <v>76</v>
      </c>
      <c r="D51" s="115">
        <f>STDEV(E38:E41,G38:G41)/D50</f>
        <v>3.8321684528003119E-3</v>
      </c>
      <c r="E51" s="52"/>
      <c r="F51" s="114"/>
      <c r="G51" s="52"/>
    </row>
    <row r="52" spans="1:7" ht="19.5" customHeight="1" x14ac:dyDescent="0.3">
      <c r="A52" s="52"/>
      <c r="B52" s="52"/>
      <c r="C52" s="116" t="s">
        <v>20</v>
      </c>
      <c r="D52" s="117">
        <f>COUNT(E38:E41,G38:G41)</f>
        <v>6</v>
      </c>
      <c r="E52" s="52"/>
      <c r="F52" s="114"/>
      <c r="G52" s="52"/>
    </row>
    <row r="53" spans="1:7" ht="18.75" customHeight="1" x14ac:dyDescent="0.3">
      <c r="A53" s="52"/>
      <c r="B53" s="52"/>
      <c r="C53" s="52"/>
      <c r="D53" s="52"/>
      <c r="E53" s="52"/>
      <c r="F53" s="52"/>
      <c r="G53" s="52"/>
    </row>
    <row r="54" spans="1:7" ht="18.75" customHeight="1" x14ac:dyDescent="0.3">
      <c r="A54" s="53" t="s">
        <v>1</v>
      </c>
      <c r="B54" s="118" t="s">
        <v>77</v>
      </c>
      <c r="C54" s="52"/>
      <c r="D54" s="52"/>
      <c r="E54" s="52"/>
      <c r="F54" s="52"/>
      <c r="G54" s="52"/>
    </row>
    <row r="55" spans="1:7" ht="18.75" customHeight="1" x14ac:dyDescent="0.3">
      <c r="A55" s="52" t="s">
        <v>78</v>
      </c>
      <c r="B55" s="119" t="str">
        <f>B21</f>
        <v>Each tablet contains Carvedilol 6.25 mg</v>
      </c>
      <c r="C55" s="52"/>
      <c r="D55" s="52"/>
      <c r="E55" s="52"/>
      <c r="F55" s="52"/>
      <c r="G55" s="52"/>
    </row>
    <row r="56" spans="1:7" ht="26.25" customHeight="1" x14ac:dyDescent="0.4">
      <c r="A56" s="120" t="s">
        <v>79</v>
      </c>
      <c r="B56" s="121">
        <v>6.25</v>
      </c>
      <c r="C56" s="52" t="str">
        <f>B20</f>
        <v>CARVERDILOL</v>
      </c>
      <c r="D56" s="52"/>
      <c r="E56" s="52"/>
      <c r="F56" s="52"/>
      <c r="G56" s="52"/>
    </row>
    <row r="57" spans="1:7" ht="17.25" customHeight="1" x14ac:dyDescent="0.3">
      <c r="A57" s="122"/>
      <c r="B57" s="122"/>
      <c r="C57" s="122"/>
      <c r="D57" s="123"/>
      <c r="E57" s="123"/>
      <c r="F57" s="123"/>
      <c r="G57" s="123"/>
    </row>
    <row r="58" spans="1:7" ht="57.75" customHeight="1" x14ac:dyDescent="0.4">
      <c r="A58" s="73" t="s">
        <v>80</v>
      </c>
      <c r="B58" s="74">
        <v>50</v>
      </c>
      <c r="C58" s="124" t="s">
        <v>81</v>
      </c>
      <c r="D58" s="125" t="s">
        <v>82</v>
      </c>
      <c r="E58" s="126" t="s">
        <v>83</v>
      </c>
      <c r="F58" s="127" t="s">
        <v>84</v>
      </c>
      <c r="G58" s="128" t="s">
        <v>85</v>
      </c>
    </row>
    <row r="59" spans="1:7" ht="26.25" customHeight="1" x14ac:dyDescent="0.4">
      <c r="A59" s="75" t="s">
        <v>54</v>
      </c>
      <c r="B59" s="76">
        <v>1</v>
      </c>
      <c r="C59" s="129">
        <v>1</v>
      </c>
      <c r="D59" s="233">
        <v>34082187</v>
      </c>
      <c r="E59" s="130">
        <f t="shared" ref="E59:E68" si="0">IF(ISBLANK(D59),"-",D59/$D$50*$D$47*$B$67)</f>
        <v>6.0955403402128523</v>
      </c>
      <c r="F59" s="131">
        <f t="shared" ref="F59:F68" si="1">IF(ISBLANK(D59),"-",E59/$E$70*100)</f>
        <v>99.74913210433958</v>
      </c>
      <c r="G59" s="132">
        <f t="shared" ref="G59:G68" si="2">IF(ISBLANK(D59),"-",E59/$B$56*100)</f>
        <v>97.528645443405637</v>
      </c>
    </row>
    <row r="60" spans="1:7" ht="26.25" customHeight="1" x14ac:dyDescent="0.4">
      <c r="A60" s="75" t="s">
        <v>58</v>
      </c>
      <c r="B60" s="76">
        <v>1</v>
      </c>
      <c r="C60" s="133">
        <v>2</v>
      </c>
      <c r="D60" s="234">
        <v>34339789</v>
      </c>
      <c r="E60" s="134">
        <f t="shared" si="0"/>
        <v>6.1416120134514127</v>
      </c>
      <c r="F60" s="135">
        <f t="shared" si="1"/>
        <v>100.50306188966533</v>
      </c>
      <c r="G60" s="136">
        <f t="shared" si="2"/>
        <v>98.265792215222604</v>
      </c>
    </row>
    <row r="61" spans="1:7" ht="26.25" customHeight="1" x14ac:dyDescent="0.4">
      <c r="A61" s="75" t="s">
        <v>59</v>
      </c>
      <c r="B61" s="76">
        <v>1</v>
      </c>
      <c r="C61" s="133">
        <v>3</v>
      </c>
      <c r="D61" s="234">
        <v>34078152</v>
      </c>
      <c r="E61" s="134">
        <f t="shared" si="0"/>
        <v>6.0948186874247616</v>
      </c>
      <c r="F61" s="135">
        <f t="shared" si="1"/>
        <v>99.737322775670577</v>
      </c>
      <c r="G61" s="136">
        <f t="shared" si="2"/>
        <v>97.517098998796186</v>
      </c>
    </row>
    <row r="62" spans="1:7" ht="26.25" customHeight="1" x14ac:dyDescent="0.4">
      <c r="A62" s="75" t="s">
        <v>60</v>
      </c>
      <c r="B62" s="76">
        <v>1</v>
      </c>
      <c r="C62" s="133">
        <v>4</v>
      </c>
      <c r="D62" s="234">
        <v>34121636</v>
      </c>
      <c r="E62" s="134">
        <f t="shared" si="0"/>
        <v>6.102595725798321</v>
      </c>
      <c r="F62" s="135">
        <f t="shared" si="1"/>
        <v>99.864588413301902</v>
      </c>
      <c r="G62" s="136">
        <f t="shared" si="2"/>
        <v>97.641531612773136</v>
      </c>
    </row>
    <row r="63" spans="1:7" ht="26.25" customHeight="1" x14ac:dyDescent="0.4">
      <c r="A63" s="75" t="s">
        <v>61</v>
      </c>
      <c r="B63" s="76">
        <v>1</v>
      </c>
      <c r="C63" s="133">
        <v>5</v>
      </c>
      <c r="D63" s="234">
        <v>33885086</v>
      </c>
      <c r="E63" s="134">
        <f t="shared" si="0"/>
        <v>6.0602891664370526</v>
      </c>
      <c r="F63" s="135">
        <f t="shared" si="1"/>
        <v>99.172272007688562</v>
      </c>
      <c r="G63" s="136">
        <f t="shared" si="2"/>
        <v>96.964626662992842</v>
      </c>
    </row>
    <row r="64" spans="1:7" ht="26.25" customHeight="1" x14ac:dyDescent="0.4">
      <c r="A64" s="75" t="s">
        <v>62</v>
      </c>
      <c r="B64" s="76">
        <v>1</v>
      </c>
      <c r="C64" s="133">
        <v>6</v>
      </c>
      <c r="D64" s="234">
        <v>34069545</v>
      </c>
      <c r="E64" s="134">
        <f t="shared" si="0"/>
        <v>6.0932793403251111</v>
      </c>
      <c r="F64" s="135">
        <f t="shared" si="1"/>
        <v>99.712132467900076</v>
      </c>
      <c r="G64" s="136">
        <f t="shared" si="2"/>
        <v>97.492469445201777</v>
      </c>
    </row>
    <row r="65" spans="1:7" ht="26.25" customHeight="1" x14ac:dyDescent="0.4">
      <c r="A65" s="75" t="s">
        <v>64</v>
      </c>
      <c r="B65" s="76">
        <v>1</v>
      </c>
      <c r="C65" s="133">
        <v>7</v>
      </c>
      <c r="D65" s="234">
        <v>34216756</v>
      </c>
      <c r="E65" s="134">
        <f t="shared" si="0"/>
        <v>6.1196077736801389</v>
      </c>
      <c r="F65" s="135">
        <f t="shared" si="1"/>
        <v>100.14297833721626</v>
      </c>
      <c r="G65" s="136">
        <f t="shared" si="2"/>
        <v>97.913724378882222</v>
      </c>
    </row>
    <row r="66" spans="1:7" ht="26.25" customHeight="1" x14ac:dyDescent="0.4">
      <c r="A66" s="75" t="s">
        <v>66</v>
      </c>
      <c r="B66" s="76">
        <v>1</v>
      </c>
      <c r="C66" s="133">
        <v>8</v>
      </c>
      <c r="D66" s="234">
        <v>34332288</v>
      </c>
      <c r="E66" s="134">
        <f t="shared" si="0"/>
        <v>6.1402704725434907</v>
      </c>
      <c r="F66" s="135">
        <f t="shared" si="1"/>
        <v>100.48110853790668</v>
      </c>
      <c r="G66" s="136">
        <f t="shared" si="2"/>
        <v>98.244327560695851</v>
      </c>
    </row>
    <row r="67" spans="1:7" ht="27" customHeight="1" x14ac:dyDescent="0.4">
      <c r="A67" s="75" t="s">
        <v>68</v>
      </c>
      <c r="B67" s="103">
        <f>(B66/B65)*(B64/B63)*(B62/B61)*(B60/B59)*B58</f>
        <v>50</v>
      </c>
      <c r="C67" s="133">
        <v>9</v>
      </c>
      <c r="D67" s="234">
        <v>34379724</v>
      </c>
      <c r="E67" s="134">
        <f t="shared" si="0"/>
        <v>6.1487543192983471</v>
      </c>
      <c r="F67" s="135">
        <f t="shared" si="1"/>
        <v>100.61994058616995</v>
      </c>
      <c r="G67" s="136">
        <f t="shared" si="2"/>
        <v>98.380069108773554</v>
      </c>
    </row>
    <row r="68" spans="1:7" ht="27" customHeight="1" x14ac:dyDescent="0.4">
      <c r="A68" s="505" t="s">
        <v>70</v>
      </c>
      <c r="B68" s="513"/>
      <c r="C68" s="137">
        <v>10</v>
      </c>
      <c r="D68" s="235">
        <v>34173870</v>
      </c>
      <c r="E68" s="138">
        <f t="shared" si="0"/>
        <v>6.1119376865748016</v>
      </c>
      <c r="F68" s="139">
        <f t="shared" si="1"/>
        <v>100.01746288014108</v>
      </c>
      <c r="G68" s="140">
        <f t="shared" si="2"/>
        <v>97.791002985196826</v>
      </c>
    </row>
    <row r="69" spans="1:7" ht="19.5" customHeight="1" x14ac:dyDescent="0.3">
      <c r="A69" s="507"/>
      <c r="B69" s="514"/>
      <c r="C69" s="133"/>
      <c r="D69" s="105"/>
      <c r="E69" s="141"/>
      <c r="F69" s="123"/>
      <c r="G69" s="142"/>
    </row>
    <row r="70" spans="1:7" ht="26.25" customHeight="1" x14ac:dyDescent="0.4">
      <c r="A70" s="123"/>
      <c r="B70" s="123"/>
      <c r="C70" s="143" t="s">
        <v>86</v>
      </c>
      <c r="D70" s="144"/>
      <c r="E70" s="145">
        <f>AVERAGE(E59:E68)</f>
        <v>6.110870552574629</v>
      </c>
      <c r="F70" s="145">
        <f>AVERAGE(F59:F68)</f>
        <v>100.00000000000001</v>
      </c>
      <c r="G70" s="146">
        <f>AVERAGE(G59:G68)</f>
        <v>97.773928841194063</v>
      </c>
    </row>
    <row r="71" spans="1:7" ht="26.25" customHeight="1" x14ac:dyDescent="0.4">
      <c r="A71" s="123"/>
      <c r="B71" s="123"/>
      <c r="C71" s="143"/>
      <c r="D71" s="144"/>
      <c r="E71" s="147">
        <f>STDEV(E59:E68)/E70</f>
        <v>4.4819173053961565E-3</v>
      </c>
      <c r="F71" s="147">
        <f>STDEV(F59:F68)/F70</f>
        <v>4.4819173053961565E-3</v>
      </c>
      <c r="G71" s="148">
        <f>STDEV(G59:G68)/G70</f>
        <v>4.4819173053961565E-3</v>
      </c>
    </row>
    <row r="72" spans="1:7" ht="27" customHeight="1" x14ac:dyDescent="0.4">
      <c r="A72" s="123"/>
      <c r="B72" s="123"/>
      <c r="C72" s="149"/>
      <c r="D72" s="150"/>
      <c r="E72" s="151">
        <f>COUNT(E59:E68)</f>
        <v>10</v>
      </c>
      <c r="F72" s="151">
        <f>COUNT(F59:F68)</f>
        <v>10</v>
      </c>
      <c r="G72" s="152">
        <f>COUNT(G59:G68)</f>
        <v>10</v>
      </c>
    </row>
    <row r="73" spans="1:7" ht="18.75" customHeight="1" x14ac:dyDescent="0.3">
      <c r="A73" s="123"/>
      <c r="B73" s="153"/>
      <c r="C73" s="153"/>
      <c r="D73" s="102"/>
      <c r="E73" s="144"/>
      <c r="F73" s="99"/>
      <c r="G73" s="154"/>
    </row>
    <row r="74" spans="1:7" ht="18.75" customHeight="1" x14ac:dyDescent="0.3">
      <c r="A74" s="62" t="s">
        <v>87</v>
      </c>
      <c r="B74" s="155" t="s">
        <v>88</v>
      </c>
      <c r="C74" s="512" t="str">
        <f>B20</f>
        <v>CARVERDILOL</v>
      </c>
      <c r="D74" s="512"/>
      <c r="E74" s="156" t="s">
        <v>89</v>
      </c>
      <c r="F74" s="156"/>
      <c r="G74" s="157">
        <f>G70</f>
        <v>97.773928841194063</v>
      </c>
    </row>
    <row r="75" spans="1:7" ht="18.75" customHeight="1" x14ac:dyDescent="0.3">
      <c r="A75" s="62"/>
      <c r="B75" s="155"/>
      <c r="C75" s="158"/>
      <c r="D75" s="158"/>
      <c r="E75" s="156"/>
      <c r="F75" s="156"/>
      <c r="G75" s="159"/>
    </row>
    <row r="76" spans="1:7" ht="18.75" customHeight="1" x14ac:dyDescent="0.3">
      <c r="A76" s="53" t="s">
        <v>1</v>
      </c>
      <c r="B76" s="160" t="s">
        <v>90</v>
      </c>
      <c r="C76" s="52"/>
      <c r="D76" s="52"/>
      <c r="E76" s="52"/>
      <c r="F76" s="52"/>
      <c r="G76" s="123"/>
    </row>
    <row r="77" spans="1:7" ht="18.75" customHeight="1" x14ac:dyDescent="0.3">
      <c r="A77" s="53"/>
      <c r="B77" s="118"/>
      <c r="C77" s="52"/>
      <c r="D77" s="52"/>
      <c r="E77" s="52"/>
      <c r="F77" s="52"/>
      <c r="G77" s="123"/>
    </row>
    <row r="78" spans="1:7" ht="18.75" customHeight="1" x14ac:dyDescent="0.3">
      <c r="A78" s="123"/>
      <c r="B78" s="515" t="s">
        <v>91</v>
      </c>
      <c r="C78" s="516"/>
      <c r="D78" s="52"/>
      <c r="E78" s="123"/>
      <c r="F78" s="123"/>
      <c r="G78" s="123"/>
    </row>
    <row r="79" spans="1:7" ht="18.75" customHeight="1" x14ac:dyDescent="0.3">
      <c r="A79" s="123"/>
      <c r="B79" s="161" t="s">
        <v>92</v>
      </c>
      <c r="C79" s="162">
        <f>G70</f>
        <v>97.773928841194063</v>
      </c>
      <c r="D79" s="52"/>
      <c r="E79" s="123"/>
      <c r="F79" s="123"/>
      <c r="G79" s="123"/>
    </row>
    <row r="80" spans="1:7" ht="26.25" customHeight="1" x14ac:dyDescent="0.4">
      <c r="A80" s="123"/>
      <c r="B80" s="161" t="s">
        <v>93</v>
      </c>
      <c r="C80" s="163">
        <v>2.4</v>
      </c>
      <c r="D80" s="52"/>
      <c r="E80" s="123"/>
      <c r="F80" s="123"/>
      <c r="G80" s="123"/>
    </row>
    <row r="81" spans="1:7" ht="18.75" customHeight="1" x14ac:dyDescent="0.3">
      <c r="A81" s="123"/>
      <c r="B81" s="161" t="s">
        <v>94</v>
      </c>
      <c r="C81" s="162">
        <f>STDEV(G59:G68)</f>
        <v>0.43821466368992007</v>
      </c>
      <c r="D81" s="52"/>
      <c r="E81" s="123"/>
      <c r="F81" s="123"/>
      <c r="G81" s="123"/>
    </row>
    <row r="82" spans="1:7" ht="18.75" customHeight="1" x14ac:dyDescent="0.3">
      <c r="A82" s="123"/>
      <c r="B82" s="161" t="s">
        <v>95</v>
      </c>
      <c r="C82" s="162">
        <f>IF(OR(G70&lt;98.5,G70&gt;101.5),(IF(98.5&gt;G70,98.5,101.5)),C79)</f>
        <v>98.5</v>
      </c>
      <c r="D82" s="52"/>
      <c r="E82" s="123"/>
      <c r="F82" s="123"/>
      <c r="G82" s="123"/>
    </row>
    <row r="83" spans="1:7" ht="18.75" customHeight="1" x14ac:dyDescent="0.3">
      <c r="A83" s="123"/>
      <c r="B83" s="161" t="s">
        <v>96</v>
      </c>
      <c r="C83" s="164">
        <f>ABS(C82-C79)+(C80*C81)</f>
        <v>1.7777863516617447</v>
      </c>
      <c r="D83" s="52"/>
      <c r="E83" s="123"/>
      <c r="F83" s="123"/>
      <c r="G83" s="123"/>
    </row>
    <row r="84" spans="1:7" ht="18.75" customHeight="1" x14ac:dyDescent="0.3">
      <c r="A84" s="120"/>
      <c r="B84" s="165"/>
      <c r="C84" s="52"/>
      <c r="D84" s="52"/>
      <c r="E84" s="52"/>
      <c r="F84" s="52"/>
      <c r="G84" s="52"/>
    </row>
    <row r="85" spans="1:7" ht="18.75" customHeight="1" x14ac:dyDescent="0.3">
      <c r="A85" s="61" t="s">
        <v>97</v>
      </c>
      <c r="B85" s="61" t="s">
        <v>98</v>
      </c>
      <c r="C85" s="52"/>
      <c r="D85" s="52"/>
      <c r="E85" s="52"/>
      <c r="F85" s="52"/>
      <c r="G85" s="52"/>
    </row>
    <row r="86" spans="1:7" ht="18.75" customHeight="1" x14ac:dyDescent="0.3">
      <c r="A86" s="61"/>
      <c r="B86" s="61"/>
      <c r="C86" s="52"/>
      <c r="D86" s="52"/>
      <c r="E86" s="52"/>
      <c r="F86" s="52"/>
      <c r="G86" s="52"/>
    </row>
    <row r="87" spans="1:7" ht="26.25" customHeight="1" x14ac:dyDescent="0.4">
      <c r="A87" s="62" t="s">
        <v>4</v>
      </c>
      <c r="B87" s="455" t="s">
        <v>118</v>
      </c>
      <c r="C87" s="455"/>
      <c r="D87" s="52"/>
      <c r="E87" s="52"/>
      <c r="F87" s="52"/>
      <c r="G87" s="52"/>
    </row>
    <row r="88" spans="1:7" ht="26.25" customHeight="1" x14ac:dyDescent="0.4">
      <c r="A88" s="63" t="s">
        <v>41</v>
      </c>
      <c r="B88" s="456" t="s">
        <v>119</v>
      </c>
      <c r="C88" s="456"/>
      <c r="D88" s="52"/>
      <c r="E88" s="52"/>
      <c r="F88" s="52"/>
      <c r="G88" s="52"/>
    </row>
    <row r="89" spans="1:7" ht="27" customHeight="1" x14ac:dyDescent="0.4">
      <c r="A89" s="63" t="s">
        <v>6</v>
      </c>
      <c r="B89" s="64">
        <v>99.4</v>
      </c>
      <c r="C89" s="52"/>
      <c r="D89" s="52"/>
      <c r="E89" s="52"/>
      <c r="F89" s="52"/>
      <c r="G89" s="52"/>
    </row>
    <row r="90" spans="1:7" ht="27" customHeight="1" x14ac:dyDescent="0.4">
      <c r="A90" s="63" t="s">
        <v>42</v>
      </c>
      <c r="B90" s="64">
        <f>B33</f>
        <v>0</v>
      </c>
      <c r="C90" s="517" t="s">
        <v>99</v>
      </c>
      <c r="D90" s="518"/>
      <c r="E90" s="518"/>
      <c r="F90" s="518"/>
      <c r="G90" s="519"/>
    </row>
    <row r="91" spans="1:7" ht="18.75" customHeight="1" x14ac:dyDescent="0.3">
      <c r="A91" s="63" t="s">
        <v>44</v>
      </c>
      <c r="B91" s="67">
        <f>B89-B90</f>
        <v>99.4</v>
      </c>
      <c r="C91" s="166"/>
      <c r="D91" s="166"/>
      <c r="E91" s="166"/>
      <c r="F91" s="166"/>
      <c r="G91" s="167"/>
    </row>
    <row r="92" spans="1:7" ht="19.5" customHeight="1" x14ac:dyDescent="0.3">
      <c r="A92" s="63"/>
      <c r="B92" s="67"/>
      <c r="C92" s="166"/>
      <c r="D92" s="166"/>
      <c r="E92" s="166"/>
      <c r="F92" s="166"/>
      <c r="G92" s="167"/>
    </row>
    <row r="93" spans="1:7" ht="27" customHeight="1" x14ac:dyDescent="0.4">
      <c r="A93" s="63" t="s">
        <v>45</v>
      </c>
      <c r="B93" s="69">
        <v>1</v>
      </c>
      <c r="C93" s="499" t="s">
        <v>100</v>
      </c>
      <c r="D93" s="500"/>
      <c r="E93" s="500"/>
      <c r="F93" s="500"/>
      <c r="G93" s="500"/>
    </row>
    <row r="94" spans="1:7" ht="27" customHeight="1" x14ac:dyDescent="0.4">
      <c r="A94" s="63" t="s">
        <v>47</v>
      </c>
      <c r="B94" s="69">
        <v>1</v>
      </c>
      <c r="C94" s="499" t="s">
        <v>101</v>
      </c>
      <c r="D94" s="500"/>
      <c r="E94" s="500"/>
      <c r="F94" s="500"/>
      <c r="G94" s="500"/>
    </row>
    <row r="95" spans="1:7" ht="18.75" customHeight="1" x14ac:dyDescent="0.3">
      <c r="A95" s="63"/>
      <c r="B95" s="70"/>
      <c r="C95" s="71"/>
      <c r="D95" s="71"/>
      <c r="E95" s="71"/>
      <c r="F95" s="71"/>
      <c r="G95" s="71"/>
    </row>
    <row r="96" spans="1:7" ht="18.75" customHeight="1" x14ac:dyDescent="0.3">
      <c r="A96" s="63" t="s">
        <v>49</v>
      </c>
      <c r="B96" s="72">
        <f>B93/B94</f>
        <v>1</v>
      </c>
      <c r="C96" s="52" t="s">
        <v>50</v>
      </c>
      <c r="D96" s="52"/>
      <c r="E96" s="52"/>
      <c r="F96" s="52"/>
      <c r="G96" s="52"/>
    </row>
    <row r="97" spans="1:7" ht="19.5" customHeight="1" x14ac:dyDescent="0.3">
      <c r="A97" s="61"/>
      <c r="B97" s="61"/>
      <c r="C97" s="52"/>
      <c r="D97" s="52"/>
      <c r="E97" s="52"/>
      <c r="F97" s="52"/>
      <c r="G97" s="52"/>
    </row>
    <row r="98" spans="1:7" ht="27" customHeight="1" x14ac:dyDescent="0.4">
      <c r="A98" s="73" t="s">
        <v>51</v>
      </c>
      <c r="B98" s="168">
        <v>100</v>
      </c>
      <c r="C98" s="52"/>
      <c r="D98" s="169" t="s">
        <v>52</v>
      </c>
      <c r="E98" s="170"/>
      <c r="F98" s="502" t="s">
        <v>53</v>
      </c>
      <c r="G98" s="504"/>
    </row>
    <row r="99" spans="1:7" ht="26.25" customHeight="1" x14ac:dyDescent="0.4">
      <c r="A99" s="75" t="s">
        <v>54</v>
      </c>
      <c r="B99" s="171">
        <v>3</v>
      </c>
      <c r="C99" s="77" t="s">
        <v>55</v>
      </c>
      <c r="D99" s="78" t="s">
        <v>56</v>
      </c>
      <c r="E99" s="79" t="s">
        <v>57</v>
      </c>
      <c r="F99" s="78" t="s">
        <v>56</v>
      </c>
      <c r="G99" s="80" t="s">
        <v>57</v>
      </c>
    </row>
    <row r="100" spans="1:7" ht="26.25" customHeight="1" x14ac:dyDescent="0.4">
      <c r="A100" s="75" t="s">
        <v>58</v>
      </c>
      <c r="B100" s="171">
        <v>100</v>
      </c>
      <c r="C100" s="81">
        <v>1</v>
      </c>
      <c r="D100" s="82">
        <v>0.28499999999999998</v>
      </c>
      <c r="E100" s="172">
        <f>IF(ISBLANK(D100),"-",$D$110/$D$107*D100)</f>
        <v>0.19071966922865419</v>
      </c>
      <c r="F100" s="173">
        <v>0.307</v>
      </c>
      <c r="G100" s="84">
        <f>IF(ISBLANK(F100),"-",$D$110/$F$107*F100)</f>
        <v>0.1988700347140277</v>
      </c>
    </row>
    <row r="101" spans="1:7" ht="26.25" customHeight="1" x14ac:dyDescent="0.4">
      <c r="A101" s="75" t="s">
        <v>59</v>
      </c>
      <c r="B101" s="171">
        <v>1</v>
      </c>
      <c r="C101" s="85">
        <v>2</v>
      </c>
      <c r="D101" s="86">
        <v>0.28799999999999998</v>
      </c>
      <c r="E101" s="174">
        <f>IF(ISBLANK(D101),"-",$D$110/$D$107*D101)</f>
        <v>0.19272724469421895</v>
      </c>
      <c r="F101" s="64">
        <v>0.30399999999999999</v>
      </c>
      <c r="G101" s="88">
        <f>IF(ISBLANK(F101),"-",$D$110/$F$107*F101)</f>
        <v>0.19692667932594274</v>
      </c>
    </row>
    <row r="102" spans="1:7" ht="26.25" customHeight="1" x14ac:dyDescent="0.4">
      <c r="A102" s="75" t="s">
        <v>60</v>
      </c>
      <c r="B102" s="171">
        <v>1</v>
      </c>
      <c r="C102" s="85">
        <v>3</v>
      </c>
      <c r="D102" s="86">
        <v>0.28799999999999998</v>
      </c>
      <c r="E102" s="174">
        <f>IF(ISBLANK(D102),"-",$D$110/$D$107*D102)</f>
        <v>0.19272724469421895</v>
      </c>
      <c r="F102" s="175">
        <v>0.30499999999999999</v>
      </c>
      <c r="G102" s="88">
        <f>IF(ISBLANK(F102),"-",$D$110/$F$107*F102)</f>
        <v>0.19757446445530441</v>
      </c>
    </row>
    <row r="103" spans="1:7" ht="26.25" customHeight="1" x14ac:dyDescent="0.4">
      <c r="A103" s="75" t="s">
        <v>61</v>
      </c>
      <c r="B103" s="171">
        <v>1</v>
      </c>
      <c r="C103" s="89">
        <v>4</v>
      </c>
      <c r="D103" s="90"/>
      <c r="E103" s="176" t="str">
        <f>IF(ISBLANK(D103),"-",$D$110/$D$107*D103)</f>
        <v>-</v>
      </c>
      <c r="F103" s="177"/>
      <c r="G103" s="92" t="str">
        <f>IF(ISBLANK(F103),"-",$D$110/$F$107*F103)</f>
        <v>-</v>
      </c>
    </row>
    <row r="104" spans="1:7" ht="27" customHeight="1" x14ac:dyDescent="0.4">
      <c r="A104" s="75" t="s">
        <v>62</v>
      </c>
      <c r="B104" s="171">
        <v>1</v>
      </c>
      <c r="C104" s="93" t="s">
        <v>63</v>
      </c>
      <c r="D104" s="178">
        <f>AVERAGE(D100:D103)</f>
        <v>0.28699999999999998</v>
      </c>
      <c r="E104" s="95">
        <f>AVERAGE(E100:E103)</f>
        <v>0.19205805287236402</v>
      </c>
      <c r="F104" s="178">
        <f>AVERAGE(F100:F103)</f>
        <v>0.30533333333333329</v>
      </c>
      <c r="G104" s="179">
        <f>AVERAGE(G100:G103)</f>
        <v>0.19779039283175828</v>
      </c>
    </row>
    <row r="105" spans="1:7" ht="26.25" customHeight="1" x14ac:dyDescent="0.4">
      <c r="A105" s="75" t="s">
        <v>64</v>
      </c>
      <c r="B105" s="171">
        <v>1</v>
      </c>
      <c r="C105" s="97" t="s">
        <v>65</v>
      </c>
      <c r="D105" s="180">
        <v>34.799999999999997</v>
      </c>
      <c r="E105" s="99"/>
      <c r="F105" s="98">
        <v>35.950000000000003</v>
      </c>
      <c r="G105" s="52"/>
    </row>
    <row r="106" spans="1:7" ht="26.25" customHeight="1" x14ac:dyDescent="0.4">
      <c r="A106" s="75" t="s">
        <v>66</v>
      </c>
      <c r="B106" s="171">
        <v>1</v>
      </c>
      <c r="C106" s="100" t="s">
        <v>67</v>
      </c>
      <c r="D106" s="181">
        <f>D105*$B$96</f>
        <v>34.799999999999997</v>
      </c>
      <c r="E106" s="102"/>
      <c r="F106" s="101">
        <f>F105*$B$96</f>
        <v>35.950000000000003</v>
      </c>
      <c r="G106" s="52"/>
    </row>
    <row r="107" spans="1:7" ht="19.5" customHeight="1" x14ac:dyDescent="0.3">
      <c r="A107" s="75" t="s">
        <v>68</v>
      </c>
      <c r="B107" s="213">
        <f>(B106/B105)*(B104/B103)*(B102/B101)*(B100/B99)*B98</f>
        <v>3333.3333333333335</v>
      </c>
      <c r="C107" s="100" t="s">
        <v>69</v>
      </c>
      <c r="D107" s="182">
        <f>D106*$B$91/100</f>
        <v>34.591200000000001</v>
      </c>
      <c r="E107" s="105"/>
      <c r="F107" s="104">
        <f>F106*$B$91/100</f>
        <v>35.734300000000005</v>
      </c>
      <c r="G107" s="52"/>
    </row>
    <row r="108" spans="1:7" ht="19.5" customHeight="1" x14ac:dyDescent="0.3">
      <c r="A108" s="505" t="s">
        <v>70</v>
      </c>
      <c r="B108" s="506"/>
      <c r="C108" s="100" t="s">
        <v>71</v>
      </c>
      <c r="D108" s="181">
        <f>D107/$B$107</f>
        <v>1.037736E-2</v>
      </c>
      <c r="E108" s="105"/>
      <c r="F108" s="106">
        <f>F107/$B$107</f>
        <v>1.072029E-2</v>
      </c>
      <c r="G108" s="183"/>
    </row>
    <row r="109" spans="1:7" ht="19.5" customHeight="1" x14ac:dyDescent="0.3">
      <c r="A109" s="507"/>
      <c r="B109" s="508"/>
      <c r="C109" s="231" t="s">
        <v>72</v>
      </c>
      <c r="D109" s="185">
        <f>$B$56/$B$125</f>
        <v>6.9444444444444441E-3</v>
      </c>
      <c r="E109" s="52"/>
      <c r="F109" s="109"/>
      <c r="G109" s="186"/>
    </row>
    <row r="110" spans="1:7" ht="18.75" customHeight="1" x14ac:dyDescent="0.3">
      <c r="A110" s="52"/>
      <c r="B110" s="52"/>
      <c r="C110" s="184" t="s">
        <v>73</v>
      </c>
      <c r="D110" s="181">
        <f>D109*$B$107</f>
        <v>23.148148148148149</v>
      </c>
      <c r="E110" s="52"/>
      <c r="F110" s="109"/>
      <c r="G110" s="183"/>
    </row>
    <row r="111" spans="1:7" ht="19.5" customHeight="1" x14ac:dyDescent="0.3">
      <c r="A111" s="52"/>
      <c r="B111" s="52"/>
      <c r="C111" s="187" t="s">
        <v>74</v>
      </c>
      <c r="D111" s="188">
        <f>D110/B96</f>
        <v>23.148148148148149</v>
      </c>
      <c r="E111" s="52"/>
      <c r="F111" s="114"/>
      <c r="G111" s="183"/>
    </row>
    <row r="112" spans="1:7" ht="18.75" customHeight="1" x14ac:dyDescent="0.3">
      <c r="A112" s="52"/>
      <c r="B112" s="52"/>
      <c r="C112" s="189" t="s">
        <v>75</v>
      </c>
      <c r="D112" s="190">
        <f>AVERAGE(E100:E103,G100:G103)</f>
        <v>0.19492422285206115</v>
      </c>
      <c r="E112" s="52"/>
      <c r="F112" s="114"/>
      <c r="G112" s="191"/>
    </row>
    <row r="113" spans="1:7" ht="18.75" customHeight="1" x14ac:dyDescent="0.3">
      <c r="A113" s="52"/>
      <c r="B113" s="52"/>
      <c r="C113" s="192" t="s">
        <v>76</v>
      </c>
      <c r="D113" s="193">
        <f>STDEV(E100:E103,G100:G103)/D112</f>
        <v>1.6849362933447541E-2</v>
      </c>
      <c r="E113" s="52"/>
      <c r="F113" s="114"/>
      <c r="G113" s="183"/>
    </row>
    <row r="114" spans="1:7" ht="19.5" customHeight="1" x14ac:dyDescent="0.3">
      <c r="A114" s="52"/>
      <c r="B114" s="52"/>
      <c r="C114" s="194" t="s">
        <v>20</v>
      </c>
      <c r="D114" s="195">
        <f>COUNT(E100:E103,G100:G103)</f>
        <v>6</v>
      </c>
      <c r="E114" s="52"/>
      <c r="F114" s="114"/>
      <c r="G114" s="183"/>
    </row>
    <row r="115" spans="1:7" ht="19.5" customHeight="1" x14ac:dyDescent="0.3">
      <c r="A115" s="53"/>
      <c r="B115" s="53"/>
      <c r="C115" s="53"/>
      <c r="D115" s="53"/>
      <c r="E115" s="53"/>
      <c r="F115" s="52"/>
      <c r="G115" s="52"/>
    </row>
    <row r="116" spans="1:7" ht="26.25" customHeight="1" x14ac:dyDescent="0.4">
      <c r="A116" s="73" t="s">
        <v>102</v>
      </c>
      <c r="B116" s="168">
        <v>900</v>
      </c>
      <c r="C116" s="196" t="s">
        <v>103</v>
      </c>
      <c r="D116" s="197" t="s">
        <v>56</v>
      </c>
      <c r="E116" s="198" t="s">
        <v>104</v>
      </c>
      <c r="F116" s="199" t="s">
        <v>105</v>
      </c>
      <c r="G116" s="52"/>
    </row>
    <row r="117" spans="1:7" ht="26.25" customHeight="1" x14ac:dyDescent="0.4">
      <c r="A117" s="75" t="s">
        <v>106</v>
      </c>
      <c r="B117" s="171">
        <v>1</v>
      </c>
      <c r="C117" s="133">
        <v>1</v>
      </c>
      <c r="D117" s="200">
        <v>0.187</v>
      </c>
      <c r="E117" s="201">
        <f t="shared" ref="E117:E122" si="3">IF(ISBLANK(D117),"-",D117/$D$112*$D$109*$B$125)</f>
        <v>5.9959197625583425</v>
      </c>
      <c r="F117" s="202">
        <f t="shared" ref="F117:F122" si="4">IF(ISBLANK(D117), "-", E117/$B$56)</f>
        <v>0.95934716200933479</v>
      </c>
      <c r="G117" s="52"/>
    </row>
    <row r="118" spans="1:7" ht="26.25" customHeight="1" x14ac:dyDescent="0.4">
      <c r="A118" s="75" t="s">
        <v>107</v>
      </c>
      <c r="B118" s="171">
        <v>1</v>
      </c>
      <c r="C118" s="133">
        <v>2</v>
      </c>
      <c r="D118" s="200">
        <v>0.193</v>
      </c>
      <c r="E118" s="203">
        <f t="shared" si="3"/>
        <v>6.1883022148329418</v>
      </c>
      <c r="F118" s="204">
        <f t="shared" si="4"/>
        <v>0.99012835437327074</v>
      </c>
      <c r="G118" s="52"/>
    </row>
    <row r="119" spans="1:7" ht="26.25" customHeight="1" x14ac:dyDescent="0.4">
      <c r="A119" s="75" t="s">
        <v>108</v>
      </c>
      <c r="B119" s="171">
        <v>1</v>
      </c>
      <c r="C119" s="133">
        <v>3</v>
      </c>
      <c r="D119" s="200">
        <v>0.189</v>
      </c>
      <c r="E119" s="203">
        <f t="shared" si="3"/>
        <v>6.0600472466498756</v>
      </c>
      <c r="F119" s="204">
        <f t="shared" si="4"/>
        <v>0.96960755946398014</v>
      </c>
      <c r="G119" s="52"/>
    </row>
    <row r="120" spans="1:7" ht="26.25" customHeight="1" x14ac:dyDescent="0.4">
      <c r="A120" s="75" t="s">
        <v>109</v>
      </c>
      <c r="B120" s="171">
        <v>1</v>
      </c>
      <c r="C120" s="133">
        <v>4</v>
      </c>
      <c r="D120" s="200">
        <v>0.192</v>
      </c>
      <c r="E120" s="203">
        <f t="shared" si="3"/>
        <v>6.1562384727871748</v>
      </c>
      <c r="F120" s="204">
        <f t="shared" si="4"/>
        <v>0.98499815564594795</v>
      </c>
      <c r="G120" s="52"/>
    </row>
    <row r="121" spans="1:7" ht="26.25" customHeight="1" x14ac:dyDescent="0.4">
      <c r="A121" s="75" t="s">
        <v>110</v>
      </c>
      <c r="B121" s="171">
        <v>1</v>
      </c>
      <c r="C121" s="133">
        <v>5</v>
      </c>
      <c r="D121" s="200">
        <v>0.187</v>
      </c>
      <c r="E121" s="203">
        <f t="shared" si="3"/>
        <v>5.9959197625583425</v>
      </c>
      <c r="F121" s="204">
        <f t="shared" si="4"/>
        <v>0.95934716200933479</v>
      </c>
      <c r="G121" s="52"/>
    </row>
    <row r="122" spans="1:7" ht="26.25" customHeight="1" x14ac:dyDescent="0.4">
      <c r="A122" s="75" t="s">
        <v>111</v>
      </c>
      <c r="B122" s="171">
        <v>1</v>
      </c>
      <c r="C122" s="205">
        <v>6</v>
      </c>
      <c r="D122" s="206">
        <v>0.193</v>
      </c>
      <c r="E122" s="207">
        <f t="shared" si="3"/>
        <v>6.1883022148329418</v>
      </c>
      <c r="F122" s="208">
        <f t="shared" si="4"/>
        <v>0.99012835437327074</v>
      </c>
      <c r="G122" s="52"/>
    </row>
    <row r="123" spans="1:7" ht="26.25" customHeight="1" x14ac:dyDescent="0.4">
      <c r="A123" s="75" t="s">
        <v>112</v>
      </c>
      <c r="B123" s="171">
        <v>1</v>
      </c>
      <c r="C123" s="133"/>
      <c r="D123" s="209"/>
      <c r="E123" s="153"/>
      <c r="F123" s="136"/>
      <c r="G123" s="52"/>
    </row>
    <row r="124" spans="1:7" ht="26.25" customHeight="1" x14ac:dyDescent="0.4">
      <c r="A124" s="75" t="s">
        <v>113</v>
      </c>
      <c r="B124" s="171">
        <v>1</v>
      </c>
      <c r="C124" s="133"/>
      <c r="D124" s="210"/>
      <c r="E124" s="211" t="s">
        <v>63</v>
      </c>
      <c r="F124" s="212">
        <f>AVERAGE(F117:F122)</f>
        <v>0.97559279131252319</v>
      </c>
      <c r="G124" s="52"/>
    </row>
    <row r="125" spans="1:7" ht="27" customHeight="1" x14ac:dyDescent="0.4">
      <c r="A125" s="75" t="s">
        <v>114</v>
      </c>
      <c r="B125" s="213">
        <f>(B124/B123)*(B122/B121)*(B120/B119)*(B118/B117)*B116</f>
        <v>900</v>
      </c>
      <c r="C125" s="214"/>
      <c r="D125" s="215"/>
      <c r="E125" s="111" t="s">
        <v>76</v>
      </c>
      <c r="F125" s="148">
        <f>STDEV(F117:F122)/F124</f>
        <v>1.5027544434252643E-2</v>
      </c>
      <c r="G125" s="52"/>
    </row>
    <row r="126" spans="1:7" ht="27" customHeight="1" x14ac:dyDescent="0.4">
      <c r="A126" s="505" t="s">
        <v>70</v>
      </c>
      <c r="B126" s="506"/>
      <c r="C126" s="216"/>
      <c r="D126" s="217"/>
      <c r="E126" s="218" t="s">
        <v>20</v>
      </c>
      <c r="F126" s="219">
        <f>COUNT(F117:F122)</f>
        <v>6</v>
      </c>
      <c r="G126" s="52"/>
    </row>
    <row r="127" spans="1:7" ht="19.5" customHeight="1" x14ac:dyDescent="0.3">
      <c r="A127" s="507"/>
      <c r="B127" s="508"/>
      <c r="C127" s="153"/>
      <c r="D127" s="153"/>
      <c r="E127" s="153"/>
      <c r="F127" s="209"/>
      <c r="G127" s="153"/>
    </row>
    <row r="128" spans="1:7" ht="18.75" customHeight="1" x14ac:dyDescent="0.3">
      <c r="A128" s="71"/>
      <c r="B128" s="71"/>
      <c r="C128" s="153"/>
      <c r="D128" s="153"/>
      <c r="E128" s="153"/>
      <c r="F128" s="209"/>
      <c r="G128" s="153"/>
    </row>
    <row r="129" spans="1:7" ht="18.75" customHeight="1" x14ac:dyDescent="0.3">
      <c r="A129" s="62" t="s">
        <v>87</v>
      </c>
      <c r="B129" s="155" t="s">
        <v>115</v>
      </c>
      <c r="C129" s="512" t="str">
        <f>B20</f>
        <v>CARVERDILOL</v>
      </c>
      <c r="D129" s="512"/>
      <c r="E129" s="156" t="s">
        <v>116</v>
      </c>
      <c r="F129" s="156"/>
      <c r="G129" s="159">
        <f>F124</f>
        <v>0.97559279131252319</v>
      </c>
    </row>
    <row r="130" spans="1:7" ht="19.5" customHeight="1" x14ac:dyDescent="0.3">
      <c r="A130" s="220"/>
      <c r="B130" s="220"/>
      <c r="C130" s="221"/>
      <c r="D130" s="221"/>
      <c r="E130" s="221"/>
      <c r="F130" s="221"/>
      <c r="G130" s="221"/>
    </row>
    <row r="131" spans="1:7" ht="18.75" customHeight="1" x14ac:dyDescent="0.3">
      <c r="A131" s="52"/>
      <c r="B131" s="511" t="s">
        <v>26</v>
      </c>
      <c r="C131" s="511"/>
      <c r="D131" s="52"/>
      <c r="E131" s="222" t="s">
        <v>27</v>
      </c>
      <c r="F131" s="223"/>
      <c r="G131" s="230" t="s">
        <v>28</v>
      </c>
    </row>
    <row r="132" spans="1:7" ht="60" customHeight="1" x14ac:dyDescent="0.3">
      <c r="A132" s="224" t="s">
        <v>29</v>
      </c>
      <c r="B132" s="225"/>
      <c r="C132" s="225"/>
      <c r="D132" s="52"/>
      <c r="E132" s="225"/>
      <c r="F132" s="153"/>
      <c r="G132" s="226"/>
    </row>
    <row r="133" spans="1:7" ht="60" customHeight="1" x14ac:dyDescent="0.3">
      <c r="A133" s="224" t="s">
        <v>30</v>
      </c>
      <c r="B133" s="227"/>
      <c r="C133" s="227"/>
      <c r="D133" s="52"/>
      <c r="E133" s="227"/>
      <c r="F133" s="153"/>
      <c r="G133" s="228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</vt:lpstr>
      <vt:lpstr>Uniformity</vt:lpstr>
      <vt:lpstr>SST</vt:lpstr>
      <vt:lpstr>UoC &amp; 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2017-01-11T06:04:13Z</dcterms:modified>
</cp:coreProperties>
</file>