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3" r:id="rId2"/>
    <sheet name="loperamide 4" sheetId="7" r:id="rId3"/>
    <sheet name="loperamide 5" sheetId="8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9" i="8" l="1"/>
  <c r="B125" i="8"/>
  <c r="D109" i="8" s="1"/>
  <c r="B107" i="8"/>
  <c r="F106" i="8"/>
  <c r="D106" i="8"/>
  <c r="F104" i="8"/>
  <c r="D104" i="8"/>
  <c r="G103" i="8"/>
  <c r="E103" i="8"/>
  <c r="B96" i="8"/>
  <c r="B90" i="8"/>
  <c r="B91" i="8"/>
  <c r="C74" i="8"/>
  <c r="B67" i="8"/>
  <c r="E67" i="8" s="1"/>
  <c r="E62" i="8"/>
  <c r="C56" i="8"/>
  <c r="B55" i="8"/>
  <c r="B45" i="8"/>
  <c r="D48" i="8" s="1"/>
  <c r="D49" i="8" s="1"/>
  <c r="F42" i="8"/>
  <c r="D42" i="8"/>
  <c r="G41" i="8"/>
  <c r="E41" i="8"/>
  <c r="G40" i="8"/>
  <c r="E40" i="8"/>
  <c r="G39" i="8"/>
  <c r="E39" i="8"/>
  <c r="G38" i="8"/>
  <c r="E38" i="8"/>
  <c r="B34" i="8"/>
  <c r="F44" i="8" s="1"/>
  <c r="B30" i="8"/>
  <c r="C124" i="7"/>
  <c r="B116" i="7"/>
  <c r="D100" i="7" s="1"/>
  <c r="B98" i="7"/>
  <c r="F95" i="7"/>
  <c r="D95" i="7"/>
  <c r="B87" i="7"/>
  <c r="F97" i="7" s="1"/>
  <c r="B83" i="7"/>
  <c r="C76" i="7"/>
  <c r="B68" i="7"/>
  <c r="C56" i="7"/>
  <c r="B55" i="7"/>
  <c r="B45" i="7"/>
  <c r="D48" i="7" s="1"/>
  <c r="F42" i="7"/>
  <c r="D42" i="7"/>
  <c r="B34" i="7"/>
  <c r="D44" i="7" s="1"/>
  <c r="B30" i="7"/>
  <c r="D49" i="3"/>
  <c r="C46" i="3"/>
  <c r="C45" i="3"/>
  <c r="D41" i="3"/>
  <c r="D40" i="3"/>
  <c r="D37" i="3"/>
  <c r="D36" i="3"/>
  <c r="D33" i="3"/>
  <c r="D32" i="3"/>
  <c r="D29" i="3"/>
  <c r="D28" i="3"/>
  <c r="D25" i="3"/>
  <c r="D24" i="3"/>
  <c r="C19" i="3"/>
  <c r="B53" i="1"/>
  <c r="E51" i="1"/>
  <c r="D51" i="1"/>
  <c r="C51" i="1"/>
  <c r="B51" i="1"/>
  <c r="B52" i="1" s="1"/>
  <c r="B32" i="1"/>
  <c r="E30" i="1"/>
  <c r="D30" i="1"/>
  <c r="C30" i="1"/>
  <c r="B30" i="1"/>
  <c r="B31" i="1" s="1"/>
  <c r="E61" i="8" l="1"/>
  <c r="G61" i="8" s="1"/>
  <c r="E66" i="8"/>
  <c r="G66" i="8" s="1"/>
  <c r="E64" i="8"/>
  <c r="G64" i="8" s="1"/>
  <c r="E68" i="8"/>
  <c r="G68" i="8" s="1"/>
  <c r="E60" i="8"/>
  <c r="G60" i="8" s="1"/>
  <c r="E65" i="8"/>
  <c r="G65" i="8" s="1"/>
  <c r="E59" i="8"/>
  <c r="G59" i="8" s="1"/>
  <c r="E63" i="8"/>
  <c r="G63" i="8" s="1"/>
  <c r="I92" i="7"/>
  <c r="D101" i="7"/>
  <c r="E92" i="7" s="1"/>
  <c r="D97" i="7"/>
  <c r="D98" i="7" s="1"/>
  <c r="E94" i="7" s="1"/>
  <c r="F98" i="7"/>
  <c r="F99" i="7" s="1"/>
  <c r="I39" i="7"/>
  <c r="D45" i="7"/>
  <c r="D102" i="7"/>
  <c r="D49" i="7"/>
  <c r="G67" i="8"/>
  <c r="G62" i="8"/>
  <c r="G42" i="8"/>
  <c r="D52" i="8"/>
  <c r="F45" i="8"/>
  <c r="F46" i="8" s="1"/>
  <c r="D110" i="8"/>
  <c r="D111" i="8" s="1"/>
  <c r="D107" i="8"/>
  <c r="B57" i="8"/>
  <c r="B57" i="7"/>
  <c r="C50" i="3"/>
  <c r="D26" i="3"/>
  <c r="D30" i="3"/>
  <c r="D34" i="3"/>
  <c r="D38" i="3"/>
  <c r="D42" i="3"/>
  <c r="B49" i="3"/>
  <c r="D50" i="3"/>
  <c r="E38" i="7"/>
  <c r="D46" i="7"/>
  <c r="B69" i="7"/>
  <c r="F107" i="8"/>
  <c r="D27" i="3"/>
  <c r="D31" i="3"/>
  <c r="D35" i="3"/>
  <c r="D39" i="3"/>
  <c r="D43" i="3"/>
  <c r="C49" i="3"/>
  <c r="E39" i="7"/>
  <c r="F44" i="7"/>
  <c r="F45" i="7" s="1"/>
  <c r="G38" i="7" s="1"/>
  <c r="G92" i="7"/>
  <c r="D44" i="8"/>
  <c r="D45" i="8" s="1"/>
  <c r="D46" i="8" s="1"/>
  <c r="E41" i="7"/>
  <c r="G94" i="7"/>
  <c r="E42" i="8"/>
  <c r="D50" i="8"/>
  <c r="D51" i="8" s="1"/>
  <c r="E40" i="7"/>
  <c r="E72" i="8" l="1"/>
  <c r="C81" i="8"/>
  <c r="E70" i="8"/>
  <c r="F66" i="8" s="1"/>
  <c r="G72" i="8"/>
  <c r="G70" i="8"/>
  <c r="C79" i="8" s="1"/>
  <c r="G91" i="7"/>
  <c r="G93" i="7"/>
  <c r="E91" i="7"/>
  <c r="E71" i="8"/>
  <c r="F62" i="8"/>
  <c r="F108" i="8"/>
  <c r="G102" i="8"/>
  <c r="G101" i="8"/>
  <c r="G100" i="8"/>
  <c r="D108" i="8"/>
  <c r="E101" i="8"/>
  <c r="E100" i="8"/>
  <c r="E102" i="8"/>
  <c r="G41" i="7"/>
  <c r="F46" i="7"/>
  <c r="G40" i="7"/>
  <c r="D99" i="7"/>
  <c r="E93" i="7"/>
  <c r="C82" i="8"/>
  <c r="G71" i="8"/>
  <c r="G74" i="8"/>
  <c r="E42" i="7"/>
  <c r="G39" i="7"/>
  <c r="F60" i="8" l="1"/>
  <c r="F64" i="8"/>
  <c r="F61" i="8"/>
  <c r="F72" i="8" s="1"/>
  <c r="F65" i="8"/>
  <c r="F59" i="8"/>
  <c r="F63" i="8"/>
  <c r="F67" i="8"/>
  <c r="F68" i="8"/>
  <c r="G95" i="7"/>
  <c r="D103" i="7"/>
  <c r="E113" i="7" s="1"/>
  <c r="F113" i="7" s="1"/>
  <c r="D105" i="7"/>
  <c r="E95" i="7"/>
  <c r="G42" i="7"/>
  <c r="F70" i="8"/>
  <c r="F71" i="8" s="1"/>
  <c r="G104" i="8"/>
  <c r="E104" i="8"/>
  <c r="D112" i="8"/>
  <c r="D114" i="8"/>
  <c r="D50" i="7"/>
  <c r="D52" i="7"/>
  <c r="C83" i="8"/>
  <c r="D104" i="7" l="1"/>
  <c r="E108" i="7"/>
  <c r="E109" i="7"/>
  <c r="F109" i="7" s="1"/>
  <c r="E110" i="7"/>
  <c r="F110" i="7" s="1"/>
  <c r="E112" i="7"/>
  <c r="F112" i="7" s="1"/>
  <c r="E111" i="7"/>
  <c r="F111" i="7" s="1"/>
  <c r="D113" i="8"/>
  <c r="E122" i="8"/>
  <c r="F122" i="8" s="1"/>
  <c r="E120" i="8"/>
  <c r="F120" i="8" s="1"/>
  <c r="E117" i="8"/>
  <c r="F117" i="8" s="1"/>
  <c r="E119" i="8"/>
  <c r="F119" i="8" s="1"/>
  <c r="E121" i="8"/>
  <c r="F121" i="8" s="1"/>
  <c r="E118" i="8"/>
  <c r="F118" i="8" s="1"/>
  <c r="G68" i="7"/>
  <c r="H68" i="7" s="1"/>
  <c r="G71" i="7"/>
  <c r="H71" i="7" s="1"/>
  <c r="G69" i="7"/>
  <c r="H69" i="7" s="1"/>
  <c r="G66" i="7"/>
  <c r="H66" i="7" s="1"/>
  <c r="G64" i="7"/>
  <c r="H64" i="7" s="1"/>
  <c r="G62" i="7"/>
  <c r="H62" i="7" s="1"/>
  <c r="G60" i="7"/>
  <c r="D51" i="7"/>
  <c r="G70" i="7"/>
  <c r="H70" i="7" s="1"/>
  <c r="G67" i="7"/>
  <c r="H67" i="7" s="1"/>
  <c r="G65" i="7"/>
  <c r="H65" i="7" s="1"/>
  <c r="G63" i="7"/>
  <c r="H63" i="7" s="1"/>
  <c r="G61" i="7"/>
  <c r="H61" i="7" s="1"/>
  <c r="E119" i="7" l="1"/>
  <c r="E115" i="7"/>
  <c r="E116" i="7" s="1"/>
  <c r="F108" i="7"/>
  <c r="F125" i="7" s="1"/>
  <c r="E120" i="7"/>
  <c r="E117" i="7"/>
  <c r="F124" i="8"/>
  <c r="G129" i="8" s="1"/>
  <c r="F126" i="8"/>
  <c r="H60" i="7"/>
  <c r="G74" i="7"/>
  <c r="G72" i="7"/>
  <c r="G73" i="7" s="1"/>
  <c r="F125" i="8" l="1"/>
  <c r="D125" i="7"/>
  <c r="F117" i="7"/>
  <c r="F119" i="7"/>
  <c r="F120" i="7"/>
  <c r="F115" i="7"/>
  <c r="F116" i="7" s="1"/>
  <c r="H74" i="7"/>
  <c r="H72" i="7"/>
  <c r="G124" i="7" l="1"/>
  <c r="G76" i="7"/>
  <c r="H73" i="7"/>
</calcChain>
</file>

<file path=xl/sharedStrings.xml><?xml version="1.0" encoding="utf-8"?>
<sst xmlns="http://schemas.openxmlformats.org/spreadsheetml/2006/main" count="402" uniqueCount="152">
  <si>
    <t>HPLC System Suitability Report</t>
  </si>
  <si>
    <t>Analysis Data</t>
  </si>
  <si>
    <t>Assay</t>
  </si>
  <si>
    <t>Sample(s)</t>
  </si>
  <si>
    <t>Reference Substance:</t>
  </si>
  <si>
    <t>DISSENTEN (R)2 MG TABLETS</t>
  </si>
  <si>
    <t>% age Purity:</t>
  </si>
  <si>
    <t>NDQD201610181</t>
  </si>
  <si>
    <t>Weight (mg):</t>
  </si>
  <si>
    <t>Loperamide hydrochloride</t>
  </si>
  <si>
    <t>Standard Conc (mg/mL):</t>
  </si>
  <si>
    <t>Each tablet contains Loperamide hydrochloride 2 mg</t>
  </si>
  <si>
    <t>2016-10-26 14:41:11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</si>
  <si>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</si>
  <si>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</si>
  <si>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</si>
  <si>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</si>
  <si>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</si>
  <si>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</si>
  <si>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</si>
  <si>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</si>
  <si>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</si>
  <si>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</si>
  <si>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</si>
  <si>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</si>
  <si>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</si>
  <si>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</si>
  <si>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</si>
  <si>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</si>
  <si>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</si>
  <si>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</si>
  <si>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</si>
  <si>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</si>
  <si>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</si>
  <si>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</si>
  <si>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</si>
  <si>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</si>
  <si>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</si>
  <si>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</si>
  <si>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</si>
  <si>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</si>
  <si>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</si>
  <si>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</si>
  <si>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</si>
  <si>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</si>
  <si>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</si>
  <si>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</si>
  <si>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</si>
  <si>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</si>
  <si>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</si>
  <si>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</si>
  <si>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</si>
  <si>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</si>
  <si>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</si>
  <si>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</si>
  <si>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</si>
  <si>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</si>
  <si>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</si>
  <si>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</si>
  <si>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</si>
  <si>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</si>
  <si>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</si>
  <si>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</si>
  <si>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</si>
  <si>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</si>
  <si>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</si>
  <si>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</si>
  <si>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</si>
  <si>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</si>
  <si>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</si>
  <si>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</si>
  <si>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</si>
  <si>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</si>
  <si>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</si>
  <si>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</si>
  <si>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</si>
  <si>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</si>
  <si>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</si>
  <si>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</si>
  <si>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</si>
  <si>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</si>
  <si>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</si>
  <si>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</si>
  <si>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</si>
  <si>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</si>
  <si>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</si>
  <si>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</si>
  <si>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</si>
  <si>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</si>
  <si>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</si>
  <si>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Calculation of acceptance value (AV)</t>
  </si>
  <si>
    <t>Average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</si>
  <si>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</si>
  <si>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</si>
  <si>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</si>
  <si>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</si>
  <si>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</si>
  <si>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</si>
  <si>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</si>
  <si>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</si>
  <si>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</si>
  <si>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</si>
  <si>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</si>
  <si>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</si>
  <si>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</si>
  <si>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</si>
  <si>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</si>
  <si>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</si>
  <si>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</si>
  <si>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</si>
  <si>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</si>
  <si>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</si>
  <si>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</si>
  <si>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</si>
  <si>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</si>
  <si>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</si>
  <si>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Uniformity of Weight Test Report</t>
  </si>
  <si>
    <t>Uniformity of weight</t>
  </si>
  <si>
    <t>Tablet weight (mg)</t>
  </si>
  <si>
    <t>% Deviation</t>
  </si>
  <si>
    <t>Total</t>
  </si>
  <si>
    <t>% Deviation from mean</t>
  </si>
  <si>
    <t>Each Tablet contains</t>
  </si>
  <si>
    <t>Average Tablet Content Weight (mg):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</si>
  <si>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</si>
  <si>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</si>
  <si>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</si>
  <si>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</si>
  <si>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</si>
  <si>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</si>
  <si>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</si>
  <si>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</si>
  <si>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</si>
  <si>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</si>
  <si>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</si>
  <si>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</si>
  <si>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</si>
  <si>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</si>
  <si>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</si>
  <si>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</si>
  <si>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</si>
  <si>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</si>
  <si>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</si>
  <si>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</si>
  <si>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</si>
  <si>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</si>
  <si>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</si>
  <si>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</si>
  <si>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</si>
  <si>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</si>
  <si>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</si>
  <si>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>L38-1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</si>
</sst>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%&quot;"/>
    <numFmt numFmtId="170" formatCode="0.0000"/>
    <numFmt numFmtId="171" formatCode="[$-409]d/mmm/yy;@"/>
    <numFmt numFmtId="172" formatCode="dd\-mmm\-yyyy"/>
    <numFmt numFmtId="173" formatCode="0.0\ &quot;mg&quot;"/>
    <numFmt numFmtId="174" formatCode="0.0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4"/>
      <color rgb="FF000000"/>
      <name val="Calibri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2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1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1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71" fontId="6" fillId="2" borderId="0" xfId="0" applyNumberFormat="1" applyFont="1" applyFill="1"/>
    <xf numFmtId="170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58" xfId="0" applyNumberFormat="1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right" vertical="center"/>
    </xf>
    <xf numFmtId="170" fontId="6" fillId="2" borderId="58" xfId="0" applyNumberFormat="1" applyFont="1" applyFill="1" applyBorder="1" applyAlignment="1">
      <alignment horizontal="center" vertical="center"/>
    </xf>
    <xf numFmtId="164" fontId="5" fillId="2" borderId="58" xfId="0" applyNumberFormat="1" applyFont="1" applyFill="1" applyBorder="1" applyAlignment="1">
      <alignment horizontal="center" vertical="center"/>
    </xf>
    <xf numFmtId="0" fontId="5" fillId="2" borderId="58" xfId="0" applyFont="1" applyFill="1" applyBorder="1" applyAlignment="1">
      <alignment horizontal="center" wrapText="1"/>
    </xf>
    <xf numFmtId="164" fontId="5" fillId="2" borderId="58" xfId="0" applyNumberFormat="1" applyFont="1" applyFill="1" applyBorder="1" applyAlignment="1">
      <alignment horizontal="center" wrapText="1"/>
    </xf>
    <xf numFmtId="10" fontId="6" fillId="2" borderId="37" xfId="0" applyNumberFormat="1" applyFont="1" applyFill="1" applyBorder="1" applyAlignment="1">
      <alignment horizontal="center"/>
    </xf>
    <xf numFmtId="10" fontId="6" fillId="2" borderId="59" xfId="0" applyNumberFormat="1" applyFont="1" applyFill="1" applyBorder="1" applyAlignment="1">
      <alignment horizontal="center"/>
    </xf>
    <xf numFmtId="10" fontId="6" fillId="2" borderId="36" xfId="0" applyNumberFormat="1" applyFont="1" applyFill="1" applyBorder="1" applyAlignment="1">
      <alignment horizontal="center"/>
    </xf>
    <xf numFmtId="0" fontId="4" fillId="2" borderId="0" xfId="0" applyFont="1" applyFill="1"/>
    <xf numFmtId="0" fontId="20" fillId="2" borderId="0" xfId="0" applyFont="1" applyFill="1" applyAlignment="1">
      <alignment wrapText="1"/>
    </xf>
    <xf numFmtId="0" fontId="5" fillId="2" borderId="58" xfId="0" applyFont="1" applyFill="1" applyBorder="1" applyAlignment="1">
      <alignment horizontal="center" vertical="center"/>
    </xf>
    <xf numFmtId="165" fontId="5" fillId="2" borderId="32" xfId="0" applyNumberFormat="1" applyFont="1" applyFill="1" applyBorder="1" applyAlignment="1">
      <alignment horizontal="center"/>
    </xf>
    <xf numFmtId="165" fontId="5" fillId="2" borderId="34" xfId="0" applyNumberFormat="1" applyFont="1" applyFill="1" applyBorder="1" applyAlignment="1">
      <alignment horizontal="center"/>
    </xf>
    <xf numFmtId="2" fontId="6" fillId="3" borderId="59" xfId="0" applyNumberFormat="1" applyFont="1" applyFill="1" applyBorder="1" applyProtection="1">
      <protection locked="0"/>
    </xf>
    <xf numFmtId="2" fontId="6" fillId="3" borderId="36" xfId="0" applyNumberFormat="1" applyFont="1" applyFill="1" applyBorder="1" applyProtection="1">
      <protection locked="0"/>
    </xf>
    <xf numFmtId="171" fontId="6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8" fillId="3" borderId="0" xfId="0" applyFont="1" applyFill="1" applyProtection="1">
      <protection locked="0"/>
    </xf>
    <xf numFmtId="172" fontId="10" fillId="3" borderId="0" xfId="0" applyNumberFormat="1" applyFont="1" applyFill="1" applyAlignment="1" applyProtection="1">
      <alignment horizontal="center"/>
      <protection locked="0"/>
    </xf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6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22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12" fillId="2" borderId="37" xfId="0" applyFont="1" applyFill="1" applyBorder="1"/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36" xfId="0" applyFont="1" applyFill="1" applyBorder="1"/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2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70" fontId="8" fillId="6" borderId="33" xfId="0" applyNumberFormat="1" applyFont="1" applyFill="1" applyBorder="1" applyAlignment="1">
      <alignment horizontal="center"/>
    </xf>
    <xf numFmtId="170" fontId="8" fillId="2" borderId="0" xfId="0" applyNumberFormat="1" applyFont="1" applyFill="1" applyAlignment="1">
      <alignment horizontal="center"/>
    </xf>
    <xf numFmtId="170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170" fontId="11" fillId="3" borderId="33" xfId="0" applyNumberFormat="1" applyFont="1" applyFill="1" applyBorder="1" applyAlignment="1" applyProtection="1">
      <alignment horizontal="center"/>
      <protection locked="0"/>
    </xf>
    <xf numFmtId="170" fontId="8" fillId="2" borderId="0" xfId="0" applyNumberFormat="1" applyFont="1" applyFill="1"/>
    <xf numFmtId="0" fontId="8" fillId="2" borderId="21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6" xfId="0" applyFont="1" applyFill="1" applyBorder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3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7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0" fontId="8" fillId="2" borderId="59" xfId="0" applyFont="1" applyFill="1" applyBorder="1" applyAlignment="1">
      <alignment horizontal="center"/>
    </xf>
    <xf numFmtId="1" fontId="11" fillId="3" borderId="14" xfId="0" applyNumberFormat="1" applyFont="1" applyFill="1" applyBorder="1" applyAlignment="1" applyProtection="1">
      <alignment horizontal="center"/>
      <protection locked="0"/>
    </xf>
    <xf numFmtId="0" fontId="8" fillId="2" borderId="36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0" fontId="10" fillId="2" borderId="22" xfId="0" applyFont="1" applyFill="1" applyBorder="1" applyAlignment="1">
      <alignment horizontal="center"/>
    </xf>
    <xf numFmtId="2" fontId="10" fillId="2" borderId="4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60" xfId="0" applyFont="1" applyFill="1" applyBorder="1" applyAlignment="1">
      <alignment horizontal="right"/>
    </xf>
    <xf numFmtId="0" fontId="8" fillId="2" borderId="33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11" fillId="7" borderId="61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4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8" fontId="11" fillId="3" borderId="25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62" xfId="0" applyNumberFormat="1" applyFont="1" applyFill="1" applyBorder="1" applyAlignment="1">
      <alignment horizontal="center"/>
    </xf>
    <xf numFmtId="1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8" fillId="2" borderId="63" xfId="0" applyFont="1" applyFill="1" applyBorder="1" applyAlignment="1">
      <alignment horizontal="right"/>
    </xf>
    <xf numFmtId="0" fontId="11" fillId="3" borderId="49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4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170" fontId="8" fillId="6" borderId="44" xfId="0" applyNumberFormat="1" applyFont="1" applyFill="1" applyBorder="1" applyAlignment="1">
      <alignment horizontal="center"/>
    </xf>
    <xf numFmtId="0" fontId="2" fillId="2" borderId="0" xfId="0" applyFont="1" applyFill="1"/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33" xfId="0" applyNumberFormat="1" applyFont="1" applyFill="1" applyBorder="1" applyAlignment="1">
      <alignment horizontal="center"/>
    </xf>
    <xf numFmtId="0" fontId="9" fillId="7" borderId="34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 wrapText="1"/>
    </xf>
    <xf numFmtId="0" fontId="8" fillId="2" borderId="14" xfId="0" applyFont="1" applyFill="1" applyBorder="1" applyAlignment="1">
      <alignment horizontal="center"/>
    </xf>
    <xf numFmtId="0" fontId="8" fillId="2" borderId="14" xfId="0" applyFont="1" applyFill="1" applyBorder="1"/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2" borderId="12" xfId="0" applyNumberFormat="1" applyFont="1" applyFill="1" applyBorder="1" applyAlignment="1">
      <alignment horizontal="center"/>
    </xf>
    <xf numFmtId="170" fontId="8" fillId="2" borderId="14" xfId="0" applyNumberFormat="1" applyFont="1" applyFill="1" applyBorder="1" applyAlignment="1">
      <alignment horizontal="center"/>
    </xf>
    <xf numFmtId="170" fontId="8" fillId="2" borderId="37" xfId="0" applyNumberFormat="1" applyFont="1" applyFill="1" applyBorder="1" applyAlignment="1">
      <alignment horizontal="center"/>
    </xf>
    <xf numFmtId="170" fontId="8" fillId="2" borderId="59" xfId="0" applyNumberFormat="1" applyFont="1" applyFill="1" applyBorder="1" applyAlignment="1">
      <alignment horizontal="center"/>
    </xf>
    <xf numFmtId="170" fontId="8" fillId="2" borderId="36" xfId="0" applyNumberFormat="1" applyFont="1" applyFill="1" applyBorder="1" applyAlignment="1">
      <alignment horizontal="center"/>
    </xf>
    <xf numFmtId="10" fontId="11" fillId="6" borderId="64" xfId="0" applyNumberFormat="1" applyFont="1" applyFill="1" applyBorder="1" applyAlignment="1">
      <alignment horizontal="center"/>
    </xf>
    <xf numFmtId="2" fontId="11" fillId="7" borderId="24" xfId="0" applyNumberFormat="1" applyFont="1" applyFill="1" applyBorder="1" applyAlignment="1">
      <alignment horizontal="center"/>
    </xf>
    <xf numFmtId="0" fontId="10" fillId="2" borderId="0" xfId="0" applyFont="1" applyFill="1"/>
    <xf numFmtId="10" fontId="11" fillId="6" borderId="64" xfId="0" applyNumberFormat="1" applyFont="1" applyFill="1" applyBorder="1" applyAlignment="1">
      <alignment horizontal="center"/>
    </xf>
    <xf numFmtId="168" fontId="8" fillId="2" borderId="32" xfId="0" applyNumberFormat="1" applyFont="1" applyFill="1" applyBorder="1" applyAlignment="1">
      <alignment horizontal="right"/>
    </xf>
    <xf numFmtId="0" fontId="8" fillId="2" borderId="59" xfId="0" applyFont="1" applyFill="1" applyBorder="1" applyAlignment="1">
      <alignment horizontal="right"/>
    </xf>
    <xf numFmtId="2" fontId="11" fillId="7" borderId="56" xfId="0" applyNumberFormat="1" applyFont="1" applyFill="1" applyBorder="1" applyAlignment="1">
      <alignment horizontal="center"/>
    </xf>
    <xf numFmtId="0" fontId="8" fillId="2" borderId="37" xfId="0" applyFont="1" applyFill="1" applyBorder="1"/>
    <xf numFmtId="0" fontId="11" fillId="7" borderId="20" xfId="0" applyFont="1" applyFill="1" applyBorder="1" applyAlignment="1">
      <alignment horizontal="center"/>
    </xf>
    <xf numFmtId="0" fontId="11" fillId="7" borderId="65" xfId="0" applyFont="1" applyFill="1" applyBorder="1" applyAlignment="1">
      <alignment horizontal="center"/>
    </xf>
    <xf numFmtId="2" fontId="11" fillId="6" borderId="64" xfId="0" applyNumberFormat="1" applyFont="1" applyFill="1" applyBorder="1" applyAlignment="1">
      <alignment horizontal="center"/>
    </xf>
    <xf numFmtId="2" fontId="11" fillId="7" borderId="61" xfId="0" applyNumberFormat="1" applyFont="1" applyFill="1" applyBorder="1" applyAlignment="1">
      <alignment horizontal="center"/>
    </xf>
    <xf numFmtId="170" fontId="8" fillId="2" borderId="38" xfId="0" applyNumberFormat="1" applyFont="1" applyFill="1" applyBorder="1" applyAlignment="1">
      <alignment horizontal="center"/>
    </xf>
    <xf numFmtId="174" fontId="8" fillId="2" borderId="37" xfId="0" applyNumberFormat="1" applyFont="1" applyFill="1" applyBorder="1" applyAlignment="1">
      <alignment horizontal="center" vertical="center"/>
    </xf>
    <xf numFmtId="174" fontId="8" fillId="2" borderId="59" xfId="0" applyNumberFormat="1" applyFont="1" applyFill="1" applyBorder="1" applyAlignment="1">
      <alignment horizontal="center" vertical="center"/>
    </xf>
    <xf numFmtId="174" fontId="8" fillId="2" borderId="36" xfId="0" applyNumberFormat="1" applyFont="1" applyFill="1" applyBorder="1" applyAlignment="1">
      <alignment horizontal="center" vertical="center"/>
    </xf>
    <xf numFmtId="174" fontId="11" fillId="7" borderId="24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8" fillId="2" borderId="59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1" fontId="11" fillId="3" borderId="59" xfId="0" applyNumberFormat="1" applyFont="1" applyFill="1" applyBorder="1" applyAlignment="1" applyProtection="1">
      <alignment horizontal="center"/>
      <protection locked="0"/>
    </xf>
    <xf numFmtId="1" fontId="11" fillId="3" borderId="36" xfId="0" applyNumberFormat="1" applyFont="1" applyFill="1" applyBorder="1" applyAlignment="1" applyProtection="1">
      <alignment horizontal="center"/>
      <protection locked="0"/>
    </xf>
    <xf numFmtId="0" fontId="8" fillId="2" borderId="37" xfId="0" applyFont="1" applyFill="1" applyBorder="1" applyAlignment="1">
      <alignment horizontal="center"/>
    </xf>
    <xf numFmtId="1" fontId="11" fillId="3" borderId="37" xfId="0" applyNumberFormat="1" applyFont="1" applyFill="1" applyBorder="1" applyAlignment="1" applyProtection="1">
      <alignment horizontal="center"/>
      <protection locked="0"/>
    </xf>
    <xf numFmtId="174" fontId="8" fillId="2" borderId="16" xfId="0" applyNumberFormat="1" applyFont="1" applyFill="1" applyBorder="1" applyAlignment="1">
      <alignment horizontal="center"/>
    </xf>
    <xf numFmtId="174" fontId="8" fillId="2" borderId="22" xfId="0" applyNumberFormat="1" applyFont="1" applyFill="1" applyBorder="1" applyAlignment="1">
      <alignment horizontal="center"/>
    </xf>
    <xf numFmtId="174" fontId="8" fillId="2" borderId="43" xfId="0" applyNumberFormat="1" applyFont="1" applyFill="1" applyBorder="1" applyAlignment="1">
      <alignment horizontal="center"/>
    </xf>
    <xf numFmtId="174" fontId="8" fillId="2" borderId="22" xfId="0" applyNumberFormat="1" applyFont="1" applyFill="1" applyBorder="1" applyAlignment="1">
      <alignment horizontal="center"/>
    </xf>
    <xf numFmtId="169" fontId="11" fillId="7" borderId="49" xfId="0" applyNumberFormat="1" applyFont="1" applyFill="1" applyBorder="1" applyAlignment="1">
      <alignment horizontal="center"/>
    </xf>
    <xf numFmtId="169" fontId="11" fillId="6" borderId="64" xfId="0" applyNumberFormat="1" applyFont="1" applyFill="1" applyBorder="1" applyAlignment="1">
      <alignment horizontal="center"/>
    </xf>
    <xf numFmtId="169" fontId="11" fillId="7" borderId="61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6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>
      <alignment horizontal="center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0" fontId="11" fillId="3" borderId="21" xfId="0" applyFont="1" applyFill="1" applyBorder="1" applyAlignment="1" applyProtection="1">
      <alignment horizontal="center"/>
      <protection locked="0"/>
    </xf>
    <xf numFmtId="168" fontId="8" fillId="2" borderId="18" xfId="0" applyNumberFormat="1" applyFont="1" applyFill="1" applyBorder="1" applyAlignment="1">
      <alignment horizontal="center"/>
    </xf>
    <xf numFmtId="168" fontId="8" fillId="2" borderId="19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8" fontId="8" fillId="2" borderId="23" xfId="0" applyNumberFormat="1" applyFont="1" applyFill="1" applyBorder="1" applyAlignment="1">
      <alignment horizontal="center"/>
    </xf>
    <xf numFmtId="168" fontId="8" fillId="2" borderId="15" xfId="0" applyNumberFormat="1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11" fillId="3" borderId="25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27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1" fontId="9" fillId="6" borderId="28" xfId="0" applyNumberFormat="1" applyFont="1" applyFill="1" applyBorder="1" applyAlignment="1">
      <alignment horizontal="center"/>
    </xf>
    <xf numFmtId="168" fontId="9" fillId="6" borderId="29" xfId="0" applyNumberFormat="1" applyFont="1" applyFill="1" applyBorder="1" applyAlignment="1">
      <alignment horizontal="center"/>
    </xf>
    <xf numFmtId="168" fontId="9" fillId="6" borderId="30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11" fillId="3" borderId="32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3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0" xfId="0" applyFont="1" applyFill="1" applyBorder="1" applyAlignment="1">
      <alignment horizontal="center"/>
    </xf>
    <xf numFmtId="2" fontId="8" fillId="7" borderId="33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4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0" fontId="11" fillId="3" borderId="33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2" fontId="8" fillId="6" borderId="36" xfId="0" applyNumberFormat="1" applyFont="1" applyFill="1" applyBorder="1" applyAlignment="1">
      <alignment horizontal="center"/>
    </xf>
    <xf numFmtId="168" fontId="9" fillId="7" borderId="37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33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0" fontId="8" fillId="7" borderId="36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11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9" fillId="2" borderId="39" xfId="0" applyFont="1" applyFill="1" applyBorder="1" applyAlignment="1">
      <alignment horizontal="center"/>
    </xf>
    <xf numFmtId="0" fontId="9" fillId="7" borderId="40" xfId="0" applyFont="1" applyFill="1" applyBorder="1" applyAlignment="1">
      <alignment horizontal="center"/>
    </xf>
    <xf numFmtId="0" fontId="9" fillId="7" borderId="10" xfId="0" applyFont="1" applyFill="1" applyBorder="1" applyAlignment="1">
      <alignment horizontal="center"/>
    </xf>
    <xf numFmtId="0" fontId="9" fillId="7" borderId="41" xfId="0" applyFont="1" applyFill="1" applyBorder="1" applyAlignment="1">
      <alignment horizontal="center" wrapText="1"/>
    </xf>
    <xf numFmtId="0" fontId="9" fillId="7" borderId="16" xfId="0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2" fontId="8" fillId="2" borderId="29" xfId="0" applyNumberFormat="1" applyFont="1" applyFill="1" applyBorder="1" applyAlignment="1">
      <alignment horizontal="center"/>
    </xf>
    <xf numFmtId="2" fontId="8" fillId="2" borderId="42" xfId="0" applyNumberFormat="1" applyFont="1" applyFill="1" applyBorder="1" applyAlignment="1">
      <alignment horizontal="center"/>
    </xf>
    <xf numFmtId="2" fontId="8" fillId="2" borderId="4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2" xfId="0" applyFont="1" applyFill="1" applyBorder="1"/>
    <xf numFmtId="0" fontId="8" fillId="2" borderId="14" xfId="0" applyFont="1" applyFill="1" applyBorder="1" applyAlignment="1">
      <alignment horizontal="center"/>
    </xf>
    <xf numFmtId="10" fontId="9" fillId="2" borderId="0" xfId="0" applyNumberFormat="1" applyFont="1" applyFill="1" applyAlignment="1">
      <alignment horizontal="center"/>
    </xf>
    <xf numFmtId="2" fontId="9" fillId="5" borderId="44" xfId="0" applyNumberFormat="1" applyFont="1" applyFill="1" applyBorder="1" applyAlignment="1">
      <alignment horizontal="center"/>
    </xf>
    <xf numFmtId="2" fontId="11" fillId="5" borderId="44" xfId="0" applyNumberFormat="1" applyFont="1" applyFill="1" applyBorder="1" applyAlignment="1">
      <alignment horizontal="center"/>
    </xf>
    <xf numFmtId="10" fontId="9" fillId="6" borderId="44" xfId="0" applyNumberFormat="1" applyFont="1" applyFill="1" applyBorder="1" applyAlignment="1">
      <alignment horizontal="center"/>
    </xf>
    <xf numFmtId="10" fontId="11" fillId="6" borderId="44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/>
    </xf>
    <xf numFmtId="2" fontId="9" fillId="5" borderId="45" xfId="0" applyNumberFormat="1" applyFont="1" applyFill="1" applyBorder="1" applyAlignment="1">
      <alignment horizontal="center"/>
    </xf>
    <xf numFmtId="2" fontId="11" fillId="5" borderId="45" xfId="0" applyNumberFormat="1" applyFont="1" applyFill="1" applyBorder="1" applyAlignment="1">
      <alignment horizontal="center"/>
    </xf>
    <xf numFmtId="0" fontId="8" fillId="2" borderId="0" xfId="0" applyFont="1" applyFill="1"/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9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 applyProtection="1">
      <alignment horizontal="center"/>
      <protection locked="0"/>
    </xf>
    <xf numFmtId="1" fontId="9" fillId="6" borderId="1" xfId="0" applyNumberFormat="1" applyFont="1" applyFill="1" applyBorder="1" applyAlignment="1">
      <alignment horizontal="center"/>
    </xf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0" fontId="15" fillId="2" borderId="0" xfId="0" applyFont="1" applyFill="1"/>
    <xf numFmtId="0" fontId="11" fillId="3" borderId="16" xfId="0" applyFont="1" applyFill="1" applyBorder="1" applyAlignment="1" applyProtection="1">
      <alignment horizontal="center"/>
      <protection locked="0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8" fontId="8" fillId="2" borderId="4" xfId="0" applyNumberFormat="1" applyFont="1" applyFill="1" applyBorder="1" applyAlignment="1">
      <alignment horizontal="center"/>
    </xf>
    <xf numFmtId="0" fontId="11" fillId="3" borderId="47" xfId="0" applyFont="1" applyFill="1" applyBorder="1" applyAlignment="1" applyProtection="1">
      <alignment horizontal="center"/>
      <protection locked="0"/>
    </xf>
    <xf numFmtId="168" fontId="8" fillId="2" borderId="3" xfId="0" applyNumberFormat="1" applyFont="1" applyFill="1" applyBorder="1" applyAlignment="1">
      <alignment horizontal="center"/>
    </xf>
    <xf numFmtId="168" fontId="11" fillId="3" borderId="0" xfId="0" applyNumberFormat="1" applyFont="1" applyFill="1" applyAlignment="1" applyProtection="1">
      <alignment horizontal="center"/>
      <protection locked="0"/>
    </xf>
    <xf numFmtId="168" fontId="8" fillId="2" borderId="5" xfId="0" applyNumberFormat="1" applyFont="1" applyFill="1" applyBorder="1" applyAlignment="1">
      <alignment horizontal="center"/>
    </xf>
    <xf numFmtId="168" fontId="11" fillId="3" borderId="7" xfId="0" applyNumberFormat="1" applyFont="1" applyFill="1" applyBorder="1" applyAlignment="1" applyProtection="1">
      <alignment horizontal="center"/>
      <protection locked="0"/>
    </xf>
    <xf numFmtId="168" fontId="9" fillId="6" borderId="48" xfId="0" applyNumberFormat="1" applyFont="1" applyFill="1" applyBorder="1" applyAlignment="1">
      <alignment horizontal="center"/>
    </xf>
    <xf numFmtId="168" fontId="9" fillId="6" borderId="36" xfId="0" applyNumberFormat="1" applyFont="1" applyFill="1" applyBorder="1" applyAlignment="1">
      <alignment horizontal="center"/>
    </xf>
    <xf numFmtId="0" fontId="11" fillId="3" borderId="49" xfId="0" applyFont="1" applyFill="1" applyBorder="1" applyAlignment="1" applyProtection="1">
      <alignment horizontal="center"/>
      <protection locked="0"/>
    </xf>
    <xf numFmtId="2" fontId="8" fillId="6" borderId="44" xfId="0" applyNumberFormat="1" applyFont="1" applyFill="1" applyBorder="1" applyAlignment="1">
      <alignment horizontal="center"/>
    </xf>
    <xf numFmtId="2" fontId="8" fillId="7" borderId="44" xfId="0" applyNumberFormat="1" applyFont="1" applyFill="1" applyBorder="1" applyAlignment="1">
      <alignment horizontal="center"/>
    </xf>
    <xf numFmtId="0" fontId="2" fillId="2" borderId="0" xfId="0" applyFont="1" applyFill="1"/>
    <xf numFmtId="0" fontId="8" fillId="2" borderId="17" xfId="0" applyFont="1" applyFill="1" applyBorder="1" applyAlignment="1">
      <alignment horizontal="right"/>
    </xf>
    <xf numFmtId="170" fontId="8" fillId="7" borderId="44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0" xfId="0" applyFont="1" applyFill="1" applyBorder="1" applyAlignment="1">
      <alignment horizontal="right"/>
    </xf>
    <xf numFmtId="2" fontId="8" fillId="7" borderId="19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68" fontId="9" fillId="7" borderId="3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10" fontId="9" fillId="6" borderId="33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9" fillId="7" borderId="34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/>
    <xf numFmtId="0" fontId="9" fillId="2" borderId="16" xfId="0" applyFont="1" applyFill="1" applyBorder="1" applyAlignment="1">
      <alignment horizontal="center" wrapText="1"/>
    </xf>
    <xf numFmtId="168" fontId="11" fillId="3" borderId="23" xfId="0" applyNumberFormat="1" applyFont="1" applyFill="1" applyBorder="1" applyAlignment="1" applyProtection="1">
      <alignment horizontal="center"/>
      <protection locked="0"/>
    </xf>
    <xf numFmtId="2" fontId="8" fillId="2" borderId="18" xfId="0" applyNumberFormat="1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2" fontId="8" fillId="2" borderId="2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168" fontId="11" fillId="3" borderId="26" xfId="0" applyNumberFormat="1" applyFont="1" applyFill="1" applyBorder="1" applyAlignment="1" applyProtection="1">
      <alignment horizontal="center"/>
      <protection locked="0"/>
    </xf>
    <xf numFmtId="2" fontId="8" fillId="2" borderId="26" xfId="0" applyNumberFormat="1" applyFont="1" applyFill="1" applyBorder="1" applyAlignment="1">
      <alignment horizontal="center"/>
    </xf>
    <xf numFmtId="10" fontId="8" fillId="2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1" fillId="7" borderId="44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8" fillId="2" borderId="14" xfId="0" applyFont="1" applyFill="1" applyBorder="1"/>
    <xf numFmtId="0" fontId="8" fillId="2" borderId="6" xfId="0" applyFont="1" applyFill="1" applyBorder="1"/>
    <xf numFmtId="0" fontId="8" fillId="2" borderId="38" xfId="0" applyFont="1" applyFill="1" applyBorder="1"/>
    <xf numFmtId="0" fontId="8" fillId="2" borderId="51" xfId="0" applyFont="1" applyFill="1" applyBorder="1" applyAlignment="1">
      <alignment horizontal="center"/>
    </xf>
    <xf numFmtId="0" fontId="8" fillId="2" borderId="52" xfId="0" applyFont="1" applyFill="1" applyBorder="1" applyAlignment="1">
      <alignment horizontal="right"/>
    </xf>
    <xf numFmtId="0" fontId="11" fillId="7" borderId="34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right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4" xfId="0" applyFont="1" applyFill="1" applyBorder="1" applyAlignment="1" applyProtection="1">
      <alignment horizontal="center" wrapText="1"/>
      <protection locked="0"/>
    </xf>
    <xf numFmtId="0" fontId="10" fillId="3" borderId="3" xfId="0" applyFont="1" applyFill="1" applyBorder="1" applyAlignment="1" applyProtection="1">
      <alignment horizontal="center" wrapText="1"/>
      <protection locked="0"/>
    </xf>
    <xf numFmtId="0" fontId="10" fillId="3" borderId="42" xfId="0" applyFont="1" applyFill="1" applyBorder="1" applyAlignment="1" applyProtection="1">
      <alignment horizontal="center" wrapText="1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70" fontId="5" fillId="2" borderId="37" xfId="0" applyNumberFormat="1" applyFont="1" applyFill="1" applyBorder="1" applyAlignment="1">
      <alignment horizontal="center" vertical="center"/>
    </xf>
    <xf numFmtId="170" fontId="5" fillId="2" borderId="36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0" fillId="2" borderId="54" xfId="0" applyFont="1" applyFill="1" applyBorder="1" applyAlignment="1">
      <alignment horizontal="center" wrapText="1"/>
    </xf>
    <xf numFmtId="0" fontId="20" fillId="2" borderId="55" xfId="0" applyFont="1" applyFill="1" applyBorder="1" applyAlignment="1">
      <alignment horizontal="center" wrapText="1"/>
    </xf>
    <xf numFmtId="0" fontId="20" fillId="2" borderId="57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9" fillId="2" borderId="46" xfId="0" applyFont="1" applyFill="1" applyBorder="1" applyAlignment="1">
      <alignment horizontal="center" vertical="center"/>
    </xf>
    <xf numFmtId="0" fontId="9" fillId="2" borderId="56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  <xf numFmtId="0" fontId="14" fillId="2" borderId="54" xfId="0" applyFont="1" applyFill="1" applyBorder="1" applyAlignment="1">
      <alignment horizontal="center"/>
    </xf>
    <xf numFmtId="0" fontId="14" fillId="2" borderId="55" xfId="0" applyFont="1" applyFill="1" applyBorder="1" applyAlignment="1">
      <alignment horizontal="center"/>
    </xf>
    <xf numFmtId="0" fontId="14" fillId="2" borderId="57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 wrapText="1"/>
      <protection locked="0"/>
    </xf>
    <xf numFmtId="0" fontId="14" fillId="2" borderId="54" xfId="0" applyFont="1" applyFill="1" applyBorder="1" applyAlignment="1">
      <alignment horizontal="justify" vertical="center" wrapText="1"/>
    </xf>
    <xf numFmtId="0" fontId="14" fillId="2" borderId="55" xfId="0" applyFont="1" applyFill="1" applyBorder="1" applyAlignment="1">
      <alignment horizontal="justify" vertical="center" wrapText="1"/>
    </xf>
    <xf numFmtId="0" fontId="14" fillId="2" borderId="57" xfId="0" applyFont="1" applyFill="1" applyBorder="1" applyAlignment="1">
      <alignment horizontal="justify" vertical="center" wrapText="1"/>
    </xf>
    <xf numFmtId="0" fontId="14" fillId="2" borderId="54" xfId="0" applyFont="1" applyFill="1" applyBorder="1" applyAlignment="1">
      <alignment horizontal="left" vertical="center" wrapText="1"/>
    </xf>
    <xf numFmtId="0" fontId="14" fillId="2" borderId="55" xfId="0" applyFont="1" applyFill="1" applyBorder="1" applyAlignment="1">
      <alignment horizontal="left" vertical="center" wrapText="1"/>
    </xf>
    <xf numFmtId="0" fontId="14" fillId="2" borderId="57" xfId="0" applyFont="1" applyFill="1" applyBorder="1" applyAlignment="1">
      <alignment horizontal="left" vertical="center" wrapText="1"/>
    </xf>
    <xf numFmtId="0" fontId="9" fillId="2" borderId="46" xfId="0" applyFont="1" applyFill="1" applyBorder="1" applyAlignment="1">
      <alignment horizontal="center"/>
    </xf>
    <xf numFmtId="0" fontId="9" fillId="2" borderId="31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10" fontId="21" fillId="2" borderId="59" xfId="0" applyNumberFormat="1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14" fillId="2" borderId="38" xfId="0" applyFont="1" applyFill="1" applyBorder="1" applyAlignment="1">
      <alignment horizontal="left" vertical="center" wrapText="1"/>
    </xf>
    <xf numFmtId="0" fontId="14" fillId="2" borderId="43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7" xfId="0" applyNumberFormat="1" applyFont="1" applyFill="1" applyBorder="1" applyAlignment="1" applyProtection="1">
      <alignment horizontal="center" vertical="center"/>
      <protection locked="0"/>
    </xf>
    <xf numFmtId="2" fontId="11" fillId="3" borderId="59" xfId="0" applyNumberFormat="1" applyFont="1" applyFill="1" applyBorder="1" applyAlignment="1" applyProtection="1">
      <alignment horizontal="center" vertical="center"/>
      <protection locked="0"/>
    </xf>
    <xf numFmtId="2" fontId="11" fillId="3" borderId="36" xfId="0" applyNumberFormat="1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9" fillId="2" borderId="38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38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/>
    </xf>
    <xf numFmtId="0" fontId="9" fillId="2" borderId="53" xfId="0" applyFont="1" applyFill="1" applyBorder="1" applyAlignment="1">
      <alignment horizontal="center"/>
    </xf>
  </cellXfs>
  <cellStyles count="1">
    <cellStyle name="Normal" xfId="0" builtinId="0"/>
  </cellStyles>
  <dxfs count="3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51" sqref="B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7" t="s">
        <v>0</v>
      </c>
      <c r="B15" s="467"/>
      <c r="C15" s="467"/>
      <c r="D15" s="467"/>
      <c r="E15" s="46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625507</v>
      </c>
      <c r="C24" s="18">
        <v>1245.95</v>
      </c>
      <c r="D24" s="19">
        <v>1</v>
      </c>
      <c r="E24" s="20">
        <v>11</v>
      </c>
    </row>
    <row r="25" spans="1:6" ht="16.5" customHeight="1" x14ac:dyDescent="0.3">
      <c r="A25" s="17">
        <v>2</v>
      </c>
      <c r="B25" s="18">
        <v>628631</v>
      </c>
      <c r="C25" s="18">
        <v>12397.4</v>
      </c>
      <c r="D25" s="19">
        <v>1</v>
      </c>
      <c r="E25" s="19">
        <v>11</v>
      </c>
    </row>
    <row r="26" spans="1:6" ht="16.5" customHeight="1" x14ac:dyDescent="0.3">
      <c r="A26" s="17">
        <v>3</v>
      </c>
      <c r="B26" s="18">
        <v>637688</v>
      </c>
      <c r="C26" s="18">
        <v>12411.7</v>
      </c>
      <c r="D26" s="19">
        <v>1</v>
      </c>
      <c r="E26" s="19">
        <v>11</v>
      </c>
    </row>
    <row r="27" spans="1:6" ht="16.5" customHeight="1" x14ac:dyDescent="0.3">
      <c r="A27" s="17">
        <v>4</v>
      </c>
      <c r="B27" s="18">
        <v>624317</v>
      </c>
      <c r="C27" s="18">
        <v>12385</v>
      </c>
      <c r="D27" s="19">
        <v>1</v>
      </c>
      <c r="E27" s="19">
        <v>11</v>
      </c>
    </row>
    <row r="28" spans="1:6" ht="16.5" customHeight="1" x14ac:dyDescent="0.3">
      <c r="A28" s="17">
        <v>5</v>
      </c>
      <c r="B28" s="18">
        <v>624417</v>
      </c>
      <c r="C28" s="18">
        <v>12557.7</v>
      </c>
      <c r="D28" s="19">
        <v>1</v>
      </c>
      <c r="E28" s="19">
        <v>11</v>
      </c>
    </row>
    <row r="29" spans="1:6" ht="16.5" customHeight="1" x14ac:dyDescent="0.3">
      <c r="A29" s="17">
        <v>6</v>
      </c>
      <c r="B29" s="21">
        <v>621828</v>
      </c>
      <c r="C29" s="21">
        <v>12446.7</v>
      </c>
      <c r="D29" s="22">
        <v>1</v>
      </c>
      <c r="E29" s="22">
        <v>11</v>
      </c>
    </row>
    <row r="30" spans="1:6" ht="16.5" customHeight="1" x14ac:dyDescent="0.3">
      <c r="A30" s="23" t="s">
        <v>18</v>
      </c>
      <c r="B30" s="24">
        <f>AVERAGE(B24:B29)</f>
        <v>627064.66666666663</v>
      </c>
      <c r="C30" s="25">
        <f>AVERAGE(C24:C29)</f>
        <v>10574.074999999999</v>
      </c>
      <c r="D30" s="26">
        <f>AVERAGE(D24:D29)</f>
        <v>1</v>
      </c>
      <c r="E30" s="26">
        <f>AVERAGE(E24:E29)</f>
        <v>11</v>
      </c>
    </row>
    <row r="31" spans="1:6" ht="16.5" customHeight="1" x14ac:dyDescent="0.3">
      <c r="A31" s="27" t="s">
        <v>19</v>
      </c>
      <c r="B31" s="28">
        <f>(STDEV(B24:B29)/B30)</f>
        <v>9.0131960559815764E-3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>
        <v>62</v>
      </c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>
        <v>290660</v>
      </c>
      <c r="C46" s="18">
        <v>13711</v>
      </c>
      <c r="D46" s="19">
        <v>1.2</v>
      </c>
      <c r="E46" s="19">
        <v>12.9</v>
      </c>
    </row>
    <row r="47" spans="1:6" ht="16.5" customHeight="1" x14ac:dyDescent="0.3">
      <c r="A47" s="17">
        <v>3</v>
      </c>
      <c r="B47" s="18">
        <v>289810</v>
      </c>
      <c r="C47" s="18">
        <v>14173</v>
      </c>
      <c r="D47" s="19">
        <v>1.1000000000000001</v>
      </c>
      <c r="E47" s="19">
        <v>12.9</v>
      </c>
    </row>
    <row r="48" spans="1:6" ht="16.5" customHeight="1" x14ac:dyDescent="0.3">
      <c r="A48" s="17">
        <v>4</v>
      </c>
      <c r="B48" s="18">
        <v>289226</v>
      </c>
      <c r="C48" s="18">
        <v>13633.6</v>
      </c>
      <c r="D48" s="19">
        <v>1.3</v>
      </c>
      <c r="E48" s="19">
        <v>12.9</v>
      </c>
    </row>
    <row r="49" spans="1:7" ht="16.5" customHeight="1" x14ac:dyDescent="0.3">
      <c r="A49" s="17">
        <v>5</v>
      </c>
      <c r="B49" s="18">
        <v>281444</v>
      </c>
      <c r="C49" s="18">
        <v>13711.4</v>
      </c>
      <c r="D49" s="19">
        <v>1.1000000000000001</v>
      </c>
      <c r="E49" s="19">
        <v>12.9</v>
      </c>
    </row>
    <row r="50" spans="1:7" ht="16.5" customHeight="1" x14ac:dyDescent="0.3">
      <c r="A50" s="17">
        <v>6</v>
      </c>
      <c r="B50" s="21">
        <v>294216</v>
      </c>
      <c r="C50" s="21">
        <v>13432.9</v>
      </c>
      <c r="D50" s="22">
        <v>1.1000000000000001</v>
      </c>
      <c r="E50" s="22">
        <v>12.9</v>
      </c>
    </row>
    <row r="51" spans="1:7" ht="16.5" customHeight="1" x14ac:dyDescent="0.3">
      <c r="A51" s="23" t="s">
        <v>18</v>
      </c>
      <c r="B51" s="24">
        <f>AVERAGE(B45:B50)</f>
        <v>289071.2</v>
      </c>
      <c r="C51" s="25">
        <f>AVERAGE(C45:C50)</f>
        <v>13732.38</v>
      </c>
      <c r="D51" s="26">
        <f>AVERAGE(D45:D50)</f>
        <v>1.1599999999999997</v>
      </c>
      <c r="E51" s="26">
        <f>AVERAGE(E45:E50)</f>
        <v>12.9</v>
      </c>
    </row>
    <row r="52" spans="1:7" ht="16.5" customHeight="1" x14ac:dyDescent="0.3">
      <c r="A52" s="27" t="s">
        <v>19</v>
      </c>
      <c r="B52" s="28">
        <f>(STDEV(B45:B50)/B51)</f>
        <v>1.6201570529211177E-2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5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8" t="s">
        <v>26</v>
      </c>
      <c r="C59" s="468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72" t="s">
        <v>33</v>
      </c>
      <c r="B11" s="473"/>
      <c r="C11" s="473"/>
      <c r="D11" s="473"/>
      <c r="E11" s="473"/>
      <c r="F11" s="474"/>
      <c r="G11" s="91"/>
    </row>
    <row r="12" spans="1:7" ht="16.5" customHeight="1" x14ac:dyDescent="0.3">
      <c r="A12" s="471" t="s">
        <v>116</v>
      </c>
      <c r="B12" s="471"/>
      <c r="C12" s="471"/>
      <c r="D12" s="471"/>
      <c r="E12" s="471"/>
      <c r="F12" s="471"/>
      <c r="G12" s="90"/>
    </row>
    <row r="14" spans="1:7" ht="16.5" customHeight="1" x14ac:dyDescent="0.3">
      <c r="A14" s="476" t="s">
        <v>35</v>
      </c>
      <c r="B14" s="476"/>
      <c r="C14" s="60" t="s">
        <v>5</v>
      </c>
    </row>
    <row r="15" spans="1:7" ht="16.5" customHeight="1" x14ac:dyDescent="0.3">
      <c r="A15" s="476" t="s">
        <v>36</v>
      </c>
      <c r="B15" s="476"/>
      <c r="C15" s="60" t="s">
        <v>7</v>
      </c>
    </row>
    <row r="16" spans="1:7" ht="16.5" customHeight="1" x14ac:dyDescent="0.3">
      <c r="A16" s="476" t="s">
        <v>37</v>
      </c>
      <c r="B16" s="476"/>
      <c r="C16" s="60" t="s">
        <v>9</v>
      </c>
    </row>
    <row r="17" spans="1:5" ht="16.5" customHeight="1" x14ac:dyDescent="0.3">
      <c r="A17" s="476" t="s">
        <v>38</v>
      </c>
      <c r="B17" s="476"/>
      <c r="C17" s="60" t="s">
        <v>11</v>
      </c>
    </row>
    <row r="18" spans="1:5" ht="16.5" customHeight="1" x14ac:dyDescent="0.3">
      <c r="A18" s="476" t="s">
        <v>39</v>
      </c>
      <c r="B18" s="476"/>
      <c r="C18" s="97" t="s">
        <v>12</v>
      </c>
    </row>
    <row r="19" spans="1:5" ht="16.5" customHeight="1" x14ac:dyDescent="0.3">
      <c r="A19" s="476" t="s">
        <v>40</v>
      </c>
      <c r="B19" s="476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71" t="s">
        <v>1</v>
      </c>
      <c r="B21" s="471"/>
      <c r="C21" s="59" t="s">
        <v>117</v>
      </c>
      <c r="D21" s="66"/>
    </row>
    <row r="22" spans="1:5" ht="15.75" customHeight="1" x14ac:dyDescent="0.3">
      <c r="A22" s="475"/>
      <c r="B22" s="475"/>
      <c r="C22" s="57"/>
      <c r="D22" s="475"/>
      <c r="E22" s="475"/>
    </row>
    <row r="23" spans="1:5" ht="33.75" customHeight="1" x14ac:dyDescent="0.3">
      <c r="C23" s="86" t="s">
        <v>118</v>
      </c>
      <c r="D23" s="85" t="s">
        <v>119</v>
      </c>
      <c r="E23" s="52"/>
    </row>
    <row r="24" spans="1:5" ht="15.75" customHeight="1" x14ac:dyDescent="0.3">
      <c r="C24" s="95">
        <v>123.53</v>
      </c>
      <c r="D24" s="87">
        <f t="shared" ref="D24:D43" si="0">(C24-$C$46)/$C$46</f>
        <v>5.2201792681984705E-3</v>
      </c>
      <c r="E24" s="53"/>
    </row>
    <row r="25" spans="1:5" ht="15.75" customHeight="1" x14ac:dyDescent="0.3">
      <c r="C25" s="95">
        <v>121.66</v>
      </c>
      <c r="D25" s="88">
        <f t="shared" si="0"/>
        <v>-9.9968670786932615E-3</v>
      </c>
      <c r="E25" s="53"/>
    </row>
    <row r="26" spans="1:5" ht="15.75" customHeight="1" x14ac:dyDescent="0.3">
      <c r="C26" s="95">
        <v>122.53</v>
      </c>
      <c r="D26" s="88">
        <f t="shared" si="0"/>
        <v>-2.9172786713158047E-3</v>
      </c>
      <c r="E26" s="53"/>
    </row>
    <row r="27" spans="1:5" ht="15.75" customHeight="1" x14ac:dyDescent="0.3">
      <c r="C27" s="95">
        <v>122.97</v>
      </c>
      <c r="D27" s="88">
        <f t="shared" si="0"/>
        <v>6.6320282207045782E-4</v>
      </c>
      <c r="E27" s="53"/>
    </row>
    <row r="28" spans="1:5" ht="15.75" customHeight="1" x14ac:dyDescent="0.3">
      <c r="C28" s="95">
        <v>122.58</v>
      </c>
      <c r="D28" s="88">
        <f t="shared" si="0"/>
        <v>-2.5104057743401144E-3</v>
      </c>
      <c r="E28" s="53"/>
    </row>
    <row r="29" spans="1:5" ht="15.75" customHeight="1" x14ac:dyDescent="0.3">
      <c r="C29" s="95">
        <v>123.08</v>
      </c>
      <c r="D29" s="88">
        <f t="shared" si="0"/>
        <v>1.5583231954170236E-3</v>
      </c>
      <c r="E29" s="53"/>
    </row>
    <row r="30" spans="1:5" ht="15.75" customHeight="1" x14ac:dyDescent="0.3">
      <c r="C30" s="95">
        <v>122.87</v>
      </c>
      <c r="D30" s="88">
        <f t="shared" si="0"/>
        <v>-1.5054297188092343E-4</v>
      </c>
      <c r="E30" s="53"/>
    </row>
    <row r="31" spans="1:5" ht="15.75" customHeight="1" x14ac:dyDescent="0.3">
      <c r="C31" s="95">
        <v>123.77</v>
      </c>
      <c r="D31" s="88">
        <f t="shared" si="0"/>
        <v>7.1731691736818554E-3</v>
      </c>
      <c r="E31" s="53"/>
    </row>
    <row r="32" spans="1:5" ht="15.75" customHeight="1" x14ac:dyDescent="0.3">
      <c r="C32" s="95">
        <v>122.92</v>
      </c>
      <c r="D32" s="88">
        <f t="shared" si="0"/>
        <v>2.5632992509476719E-4</v>
      </c>
      <c r="E32" s="53"/>
    </row>
    <row r="33" spans="1:7" ht="15.75" customHeight="1" x14ac:dyDescent="0.3">
      <c r="C33" s="95">
        <v>122.31</v>
      </c>
      <c r="D33" s="88">
        <f t="shared" si="0"/>
        <v>-4.7075194180089359E-3</v>
      </c>
      <c r="E33" s="53"/>
    </row>
    <row r="34" spans="1:7" ht="15.75" customHeight="1" x14ac:dyDescent="0.3">
      <c r="C34" s="95">
        <v>121.29</v>
      </c>
      <c r="D34" s="88">
        <f t="shared" si="0"/>
        <v>-1.3007726516313465E-2</v>
      </c>
      <c r="E34" s="53"/>
    </row>
    <row r="35" spans="1:7" ht="15.75" customHeight="1" x14ac:dyDescent="0.3">
      <c r="C35" s="95">
        <v>123.78</v>
      </c>
      <c r="D35" s="88">
        <f t="shared" si="0"/>
        <v>7.2545437530770395E-3</v>
      </c>
      <c r="E35" s="53"/>
    </row>
    <row r="36" spans="1:7" ht="15.75" customHeight="1" x14ac:dyDescent="0.3">
      <c r="C36" s="95">
        <v>122.11</v>
      </c>
      <c r="D36" s="88">
        <f t="shared" si="0"/>
        <v>-6.3350110059118142E-3</v>
      </c>
      <c r="E36" s="53"/>
    </row>
    <row r="37" spans="1:7" ht="15.75" customHeight="1" x14ac:dyDescent="0.3">
      <c r="C37" s="95">
        <v>122.24</v>
      </c>
      <c r="D37" s="88">
        <f t="shared" si="0"/>
        <v>-5.2771414737749957E-3</v>
      </c>
      <c r="E37" s="53"/>
    </row>
    <row r="38" spans="1:7" ht="15.75" customHeight="1" x14ac:dyDescent="0.3">
      <c r="C38" s="95">
        <v>123.45</v>
      </c>
      <c r="D38" s="88">
        <f t="shared" si="0"/>
        <v>4.5691826330373428E-3</v>
      </c>
      <c r="E38" s="53"/>
    </row>
    <row r="39" spans="1:7" ht="15.75" customHeight="1" x14ac:dyDescent="0.3">
      <c r="C39" s="95">
        <v>124.23</v>
      </c>
      <c r="D39" s="88">
        <f t="shared" si="0"/>
        <v>1.0916399825858486E-2</v>
      </c>
      <c r="E39" s="53"/>
    </row>
    <row r="40" spans="1:7" ht="15.75" customHeight="1" x14ac:dyDescent="0.3">
      <c r="C40" s="95">
        <v>122.89</v>
      </c>
      <c r="D40" s="88">
        <f t="shared" si="0"/>
        <v>1.2206186909329697E-5</v>
      </c>
      <c r="E40" s="53"/>
    </row>
    <row r="41" spans="1:7" ht="15.75" customHeight="1" x14ac:dyDescent="0.3">
      <c r="C41" s="95">
        <v>123.94</v>
      </c>
      <c r="D41" s="88">
        <f t="shared" si="0"/>
        <v>8.5565370233992959E-3</v>
      </c>
      <c r="E41" s="53"/>
    </row>
    <row r="42" spans="1:7" ht="15.75" customHeight="1" x14ac:dyDescent="0.3">
      <c r="C42" s="95">
        <v>123.74</v>
      </c>
      <c r="D42" s="88">
        <f t="shared" si="0"/>
        <v>6.9290454354964176E-3</v>
      </c>
      <c r="E42" s="53"/>
    </row>
    <row r="43" spans="1:7" ht="16.5" customHeight="1" x14ac:dyDescent="0.3">
      <c r="C43" s="96">
        <v>121.88</v>
      </c>
      <c r="D43" s="89">
        <f t="shared" si="0"/>
        <v>-8.2066263320001304E-3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120</v>
      </c>
      <c r="C45" s="83">
        <f>SUM(C24:C44)</f>
        <v>2457.77</v>
      </c>
      <c r="D45" s="78"/>
      <c r="E45" s="54"/>
    </row>
    <row r="46" spans="1:7" ht="17.25" customHeight="1" x14ac:dyDescent="0.3">
      <c r="B46" s="82" t="s">
        <v>91</v>
      </c>
      <c r="C46" s="84">
        <f>AVERAGE(C24:C44)</f>
        <v>122.88849999999999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91</v>
      </c>
      <c r="C48" s="85" t="s">
        <v>121</v>
      </c>
      <c r="D48" s="80"/>
      <c r="G48" s="58"/>
    </row>
    <row r="49" spans="1:6" ht="17.25" customHeight="1" x14ac:dyDescent="0.3">
      <c r="B49" s="469">
        <f>C46</f>
        <v>122.88849999999999</v>
      </c>
      <c r="C49" s="93">
        <f>-IF(C46&lt;=80,10%,IF(C46&lt;250,7.5%,5%))</f>
        <v>-7.4999999999999997E-2</v>
      </c>
      <c r="D49" s="81">
        <f>IF(C46&lt;=80,C46*0.9,IF(C46&lt;250,C46*0.925,C46*0.95))</f>
        <v>113.6718625</v>
      </c>
    </row>
    <row r="50" spans="1:6" ht="17.25" customHeight="1" x14ac:dyDescent="0.3">
      <c r="B50" s="470"/>
      <c r="C50" s="94">
        <f>IF(C46&lt;=80, 10%, IF(C46&lt;250, 7.5%, 5%))</f>
        <v>7.4999999999999997E-2</v>
      </c>
      <c r="D50" s="81">
        <f>IF(C46&lt;=80, C46*1.1, IF(C46&lt;250, C46*1.075, C46*1.05))</f>
        <v>132.10513749999998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2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1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0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9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8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7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6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5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4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3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2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1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0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9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8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7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6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5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4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3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2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58" zoomScale="50" zoomScaleNormal="40" zoomScalePageLayoutView="50" workbookViewId="0">
      <selection activeCell="B24" sqref="B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7" t="s">
        <v>31</v>
      </c>
      <c r="B1" s="507"/>
      <c r="C1" s="507"/>
      <c r="D1" s="507"/>
      <c r="E1" s="507"/>
      <c r="F1" s="507"/>
      <c r="G1" s="507"/>
      <c r="H1" s="507"/>
      <c r="I1" s="507"/>
    </row>
    <row r="2" spans="1:9" ht="18.75" customHeight="1" x14ac:dyDescent="0.25">
      <c r="A2" s="507"/>
      <c r="B2" s="507"/>
      <c r="C2" s="507"/>
      <c r="D2" s="507"/>
      <c r="E2" s="507"/>
      <c r="F2" s="507"/>
      <c r="G2" s="507"/>
      <c r="H2" s="507"/>
      <c r="I2" s="507"/>
    </row>
    <row r="3" spans="1:9" ht="18.75" customHeight="1" x14ac:dyDescent="0.25">
      <c r="A3" s="507"/>
      <c r="B3" s="507"/>
      <c r="C3" s="507"/>
      <c r="D3" s="507"/>
      <c r="E3" s="507"/>
      <c r="F3" s="507"/>
      <c r="G3" s="507"/>
      <c r="H3" s="507"/>
      <c r="I3" s="507"/>
    </row>
    <row r="4" spans="1:9" ht="18.75" customHeight="1" x14ac:dyDescent="0.25">
      <c r="A4" s="507"/>
      <c r="B4" s="507"/>
      <c r="C4" s="507"/>
      <c r="D4" s="507"/>
      <c r="E4" s="507"/>
      <c r="F4" s="507"/>
      <c r="G4" s="507"/>
      <c r="H4" s="507"/>
      <c r="I4" s="507"/>
    </row>
    <row r="5" spans="1:9" ht="18.75" customHeight="1" x14ac:dyDescent="0.25">
      <c r="A5" s="507"/>
      <c r="B5" s="507"/>
      <c r="C5" s="507"/>
      <c r="D5" s="507"/>
      <c r="E5" s="507"/>
      <c r="F5" s="507"/>
      <c r="G5" s="507"/>
      <c r="H5" s="507"/>
      <c r="I5" s="507"/>
    </row>
    <row r="6" spans="1:9" ht="18.75" customHeight="1" x14ac:dyDescent="0.25">
      <c r="A6" s="507"/>
      <c r="B6" s="507"/>
      <c r="C6" s="507"/>
      <c r="D6" s="507"/>
      <c r="E6" s="507"/>
      <c r="F6" s="507"/>
      <c r="G6" s="507"/>
      <c r="H6" s="507"/>
      <c r="I6" s="507"/>
    </row>
    <row r="7" spans="1:9" ht="18.75" customHeight="1" x14ac:dyDescent="0.25">
      <c r="A7" s="507"/>
      <c r="B7" s="507"/>
      <c r="C7" s="507"/>
      <c r="D7" s="507"/>
      <c r="E7" s="507"/>
      <c r="F7" s="507"/>
      <c r="G7" s="507"/>
      <c r="H7" s="507"/>
      <c r="I7" s="507"/>
    </row>
    <row r="8" spans="1:9" x14ac:dyDescent="0.25">
      <c r="A8" s="508" t="s">
        <v>32</v>
      </c>
      <c r="B8" s="508"/>
      <c r="C8" s="508"/>
      <c r="D8" s="508"/>
      <c r="E8" s="508"/>
      <c r="F8" s="508"/>
      <c r="G8" s="508"/>
      <c r="H8" s="508"/>
      <c r="I8" s="508"/>
    </row>
    <row r="9" spans="1:9" x14ac:dyDescent="0.25">
      <c r="A9" s="508"/>
      <c r="B9" s="508"/>
      <c r="C9" s="508"/>
      <c r="D9" s="508"/>
      <c r="E9" s="508"/>
      <c r="F9" s="508"/>
      <c r="G9" s="508"/>
      <c r="H9" s="508"/>
      <c r="I9" s="508"/>
    </row>
    <row r="10" spans="1:9" x14ac:dyDescent="0.25">
      <c r="A10" s="508"/>
      <c r="B10" s="508"/>
      <c r="C10" s="508"/>
      <c r="D10" s="508"/>
      <c r="E10" s="508"/>
      <c r="F10" s="508"/>
      <c r="G10" s="508"/>
      <c r="H10" s="508"/>
      <c r="I10" s="508"/>
    </row>
    <row r="11" spans="1:9" x14ac:dyDescent="0.25">
      <c r="A11" s="508"/>
      <c r="B11" s="508"/>
      <c r="C11" s="508"/>
      <c r="D11" s="508"/>
      <c r="E11" s="508"/>
      <c r="F11" s="508"/>
      <c r="G11" s="508"/>
      <c r="H11" s="508"/>
      <c r="I11" s="508"/>
    </row>
    <row r="12" spans="1:9" x14ac:dyDescent="0.25">
      <c r="A12" s="508"/>
      <c r="B12" s="508"/>
      <c r="C12" s="508"/>
      <c r="D12" s="508"/>
      <c r="E12" s="508"/>
      <c r="F12" s="508"/>
      <c r="G12" s="508"/>
      <c r="H12" s="508"/>
      <c r="I12" s="508"/>
    </row>
    <row r="13" spans="1:9" x14ac:dyDescent="0.25">
      <c r="A13" s="508"/>
      <c r="B13" s="508"/>
      <c r="C13" s="508"/>
      <c r="D13" s="508"/>
      <c r="E13" s="508"/>
      <c r="F13" s="508"/>
      <c r="G13" s="508"/>
      <c r="H13" s="508"/>
      <c r="I13" s="508"/>
    </row>
    <row r="14" spans="1:9" x14ac:dyDescent="0.25">
      <c r="A14" s="508"/>
      <c r="B14" s="508"/>
      <c r="C14" s="508"/>
      <c r="D14" s="508"/>
      <c r="E14" s="508"/>
      <c r="F14" s="508"/>
      <c r="G14" s="508"/>
      <c r="H14" s="508"/>
      <c r="I14" s="508"/>
    </row>
    <row r="15" spans="1:9" ht="19.5" customHeight="1" x14ac:dyDescent="0.3">
      <c r="A15" s="98"/>
    </row>
    <row r="16" spans="1:9" ht="19.5" customHeight="1" x14ac:dyDescent="0.3">
      <c r="A16" s="480" t="s">
        <v>33</v>
      </c>
      <c r="B16" s="481"/>
      <c r="C16" s="481"/>
      <c r="D16" s="481"/>
      <c r="E16" s="481"/>
      <c r="F16" s="481"/>
      <c r="G16" s="481"/>
      <c r="H16" s="482"/>
    </row>
    <row r="17" spans="1:14" ht="20.25" customHeight="1" x14ac:dyDescent="0.25">
      <c r="A17" s="483" t="s">
        <v>34</v>
      </c>
      <c r="B17" s="483"/>
      <c r="C17" s="483"/>
      <c r="D17" s="483"/>
      <c r="E17" s="483"/>
      <c r="F17" s="483"/>
      <c r="G17" s="483"/>
      <c r="H17" s="483"/>
    </row>
    <row r="18" spans="1:14" ht="26.25" customHeight="1" x14ac:dyDescent="0.4">
      <c r="A18" s="100" t="s">
        <v>35</v>
      </c>
      <c r="B18" s="484" t="s">
        <v>5</v>
      </c>
      <c r="C18" s="484"/>
      <c r="D18" s="245"/>
      <c r="E18" s="101"/>
      <c r="F18" s="102"/>
      <c r="G18" s="102"/>
      <c r="H18" s="102"/>
    </row>
    <row r="19" spans="1:14" ht="26.25" customHeight="1" x14ac:dyDescent="0.4">
      <c r="A19" s="100" t="s">
        <v>36</v>
      </c>
      <c r="B19" s="463" t="s">
        <v>7</v>
      </c>
      <c r="C19" s="254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37</v>
      </c>
      <c r="B20" s="485" t="s">
        <v>9</v>
      </c>
      <c r="C20" s="485"/>
      <c r="D20" s="102"/>
      <c r="E20" s="102"/>
      <c r="F20" s="102"/>
      <c r="G20" s="102"/>
      <c r="H20" s="102"/>
    </row>
    <row r="21" spans="1:14" ht="26.25" customHeight="1" x14ac:dyDescent="0.4">
      <c r="A21" s="100" t="s">
        <v>38</v>
      </c>
      <c r="B21" s="486" t="s">
        <v>11</v>
      </c>
      <c r="C21" s="486"/>
      <c r="D21" s="486"/>
      <c r="E21" s="486"/>
      <c r="F21" s="486"/>
      <c r="G21" s="486"/>
      <c r="H21" s="486"/>
      <c r="I21" s="103"/>
    </row>
    <row r="22" spans="1:14" ht="26.25" customHeight="1" x14ac:dyDescent="0.4">
      <c r="A22" s="100" t="s">
        <v>39</v>
      </c>
      <c r="B22" s="104">
        <v>42685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40</v>
      </c>
      <c r="B23" s="104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479" t="s">
        <v>9</v>
      </c>
      <c r="C26" s="479"/>
    </row>
    <row r="27" spans="1:14" ht="26.25" customHeight="1" x14ac:dyDescent="0.4">
      <c r="A27" s="108" t="s">
        <v>41</v>
      </c>
      <c r="B27" s="485" t="s">
        <v>151</v>
      </c>
      <c r="C27" s="485"/>
    </row>
    <row r="28" spans="1:14" ht="27" customHeight="1" x14ac:dyDescent="0.4">
      <c r="A28" s="108" t="s">
        <v>6</v>
      </c>
      <c r="B28" s="109">
        <v>99.89</v>
      </c>
    </row>
    <row r="29" spans="1:14" s="14" customFormat="1" ht="27" customHeight="1" x14ac:dyDescent="0.4">
      <c r="A29" s="108" t="s">
        <v>42</v>
      </c>
      <c r="B29" s="110">
        <v>0</v>
      </c>
      <c r="C29" s="487" t="s">
        <v>98</v>
      </c>
      <c r="D29" s="488"/>
      <c r="E29" s="488"/>
      <c r="F29" s="488"/>
      <c r="G29" s="489"/>
      <c r="I29" s="111"/>
      <c r="J29" s="111"/>
      <c r="K29" s="111"/>
      <c r="L29" s="111"/>
    </row>
    <row r="30" spans="1:14" s="14" customFormat="1" ht="19.5" customHeight="1" x14ac:dyDescent="0.3">
      <c r="A30" s="108" t="s">
        <v>44</v>
      </c>
      <c r="B30" s="112">
        <f>B28-B29</f>
        <v>99.89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45</v>
      </c>
      <c r="B31" s="115">
        <v>1</v>
      </c>
      <c r="C31" s="490" t="s">
        <v>46</v>
      </c>
      <c r="D31" s="491"/>
      <c r="E31" s="491"/>
      <c r="F31" s="491"/>
      <c r="G31" s="491"/>
      <c r="H31" s="492"/>
      <c r="I31" s="111"/>
      <c r="J31" s="111"/>
      <c r="K31" s="111"/>
      <c r="L31" s="111"/>
    </row>
    <row r="32" spans="1:14" s="14" customFormat="1" ht="27" customHeight="1" x14ac:dyDescent="0.4">
      <c r="A32" s="108" t="s">
        <v>47</v>
      </c>
      <c r="B32" s="115">
        <v>1</v>
      </c>
      <c r="C32" s="490" t="s">
        <v>48</v>
      </c>
      <c r="D32" s="491"/>
      <c r="E32" s="491"/>
      <c r="F32" s="491"/>
      <c r="G32" s="491"/>
      <c r="H32" s="492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49</v>
      </c>
      <c r="B34" s="120">
        <f>B31/B32</f>
        <v>1</v>
      </c>
      <c r="C34" s="99" t="s">
        <v>50</v>
      </c>
      <c r="D34" s="99"/>
      <c r="E34" s="99"/>
      <c r="F34" s="99"/>
      <c r="G34" s="99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9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124</v>
      </c>
      <c r="B36" s="122">
        <v>10</v>
      </c>
      <c r="C36" s="99"/>
      <c r="D36" s="493" t="s">
        <v>52</v>
      </c>
      <c r="E36" s="494"/>
      <c r="F36" s="493" t="s">
        <v>53</v>
      </c>
      <c r="G36" s="495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54</v>
      </c>
      <c r="B37" s="124">
        <v>2</v>
      </c>
      <c r="C37" s="125" t="s">
        <v>55</v>
      </c>
      <c r="D37" s="126" t="s">
        <v>56</v>
      </c>
      <c r="E37" s="127" t="s">
        <v>57</v>
      </c>
      <c r="F37" s="126" t="s">
        <v>56</v>
      </c>
      <c r="G37" s="128" t="s">
        <v>57</v>
      </c>
      <c r="I37" s="129" t="s">
        <v>125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58</v>
      </c>
      <c r="B38" s="124">
        <v>20</v>
      </c>
      <c r="C38" s="130">
        <v>1</v>
      </c>
      <c r="D38" s="131">
        <v>642861</v>
      </c>
      <c r="E38" s="132">
        <f>IF(ISBLANK(D38),"-",$D$48/$D$45*D38)</f>
        <v>639095.25900536263</v>
      </c>
      <c r="F38" s="131">
        <v>697541</v>
      </c>
      <c r="G38" s="133">
        <f>IF(ISBLANK(F38),"-",$D$48/$F$45*F38)</f>
        <v>645685.75132136804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59</v>
      </c>
      <c r="B39" s="124">
        <v>10</v>
      </c>
      <c r="C39" s="135">
        <v>2</v>
      </c>
      <c r="D39" s="136">
        <v>643124</v>
      </c>
      <c r="E39" s="137">
        <f>IF(ISBLANK(D39),"-",$D$48/$D$45*D39)</f>
        <v>639356.71840812382</v>
      </c>
      <c r="F39" s="136">
        <v>693210</v>
      </c>
      <c r="G39" s="138">
        <f>IF(ISBLANK(F39),"-",$D$48/$F$45*F39)</f>
        <v>641676.7181764018</v>
      </c>
      <c r="I39" s="496">
        <f>ABS((F43/D43*D42)-F42)/D42</f>
        <v>3.3945863759706598E-3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60</v>
      </c>
      <c r="B40" s="124">
        <v>250</v>
      </c>
      <c r="C40" s="135">
        <v>3</v>
      </c>
      <c r="D40" s="136">
        <v>648137</v>
      </c>
      <c r="E40" s="137">
        <f>IF(ISBLANK(D40),"-",$D$48/$D$45*D40)</f>
        <v>644340.35333603807</v>
      </c>
      <c r="F40" s="136">
        <v>693027</v>
      </c>
      <c r="G40" s="138">
        <f>IF(ISBLANK(F40),"-",$D$48/$F$45*F40)</f>
        <v>641507.32240971318</v>
      </c>
      <c r="I40" s="496"/>
      <c r="L40" s="116"/>
      <c r="M40" s="116"/>
      <c r="N40" s="139"/>
    </row>
    <row r="41" spans="1:14" ht="27" customHeight="1" x14ac:dyDescent="0.4">
      <c r="A41" s="123" t="s">
        <v>61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62</v>
      </c>
      <c r="B42" s="124">
        <v>1</v>
      </c>
      <c r="C42" s="145" t="s">
        <v>63</v>
      </c>
      <c r="D42" s="146">
        <f>AVERAGE(D38:D41)</f>
        <v>644707.33333333337</v>
      </c>
      <c r="E42" s="147">
        <f>AVERAGE(E38:E41)</f>
        <v>640930.77691650821</v>
      </c>
      <c r="F42" s="146">
        <f>AVERAGE(F38:F41)</f>
        <v>694592.66666666663</v>
      </c>
      <c r="G42" s="148">
        <f>AVERAGE(G38:G41)</f>
        <v>642956.59730249434</v>
      </c>
      <c r="H42" s="149"/>
    </row>
    <row r="43" spans="1:14" ht="26.25" customHeight="1" x14ac:dyDescent="0.4">
      <c r="A43" s="123" t="s">
        <v>64</v>
      </c>
      <c r="B43" s="124">
        <v>1</v>
      </c>
      <c r="C43" s="150" t="s">
        <v>126</v>
      </c>
      <c r="D43" s="151">
        <v>20.14</v>
      </c>
      <c r="E43" s="139"/>
      <c r="F43" s="151">
        <v>21.63</v>
      </c>
      <c r="H43" s="149"/>
    </row>
    <row r="44" spans="1:14" ht="26.25" customHeight="1" x14ac:dyDescent="0.4">
      <c r="A44" s="123" t="s">
        <v>66</v>
      </c>
      <c r="B44" s="124">
        <v>1</v>
      </c>
      <c r="C44" s="152" t="s">
        <v>127</v>
      </c>
      <c r="D44" s="153">
        <f>D43*$B$34</f>
        <v>20.14</v>
      </c>
      <c r="E44" s="154"/>
      <c r="F44" s="153">
        <f>F43*$B$34</f>
        <v>21.63</v>
      </c>
      <c r="H44" s="149"/>
    </row>
    <row r="45" spans="1:14" ht="19.5" customHeight="1" x14ac:dyDescent="0.3">
      <c r="A45" s="123" t="s">
        <v>68</v>
      </c>
      <c r="B45" s="155">
        <f>(B44/B43)*(B42/B41)*(B40/B39)*(B38/B37)*B36</f>
        <v>2500</v>
      </c>
      <c r="C45" s="152" t="s">
        <v>69</v>
      </c>
      <c r="D45" s="156">
        <f>D44*$B$30/100</f>
        <v>20.117846</v>
      </c>
      <c r="E45" s="157"/>
      <c r="F45" s="156">
        <f>F44*$B$30/100</f>
        <v>21.606206999999998</v>
      </c>
      <c r="H45" s="149"/>
    </row>
    <row r="46" spans="1:14" ht="19.5" customHeight="1" x14ac:dyDescent="0.3">
      <c r="A46" s="497" t="s">
        <v>70</v>
      </c>
      <c r="B46" s="498"/>
      <c r="C46" s="152" t="s">
        <v>71</v>
      </c>
      <c r="D46" s="158">
        <f>D45/$B$45</f>
        <v>8.0471384000000007E-3</v>
      </c>
      <c r="E46" s="159"/>
      <c r="F46" s="160">
        <f>F45/$B$45</f>
        <v>8.6424827999999985E-3</v>
      </c>
      <c r="H46" s="149"/>
    </row>
    <row r="47" spans="1:14" ht="27" customHeight="1" x14ac:dyDescent="0.4">
      <c r="A47" s="499"/>
      <c r="B47" s="500"/>
      <c r="C47" s="161" t="s">
        <v>128</v>
      </c>
      <c r="D47" s="162">
        <v>8.0000000000000002E-3</v>
      </c>
      <c r="E47" s="163"/>
      <c r="F47" s="159"/>
      <c r="H47" s="149"/>
    </row>
    <row r="48" spans="1:14" ht="18.75" x14ac:dyDescent="0.3">
      <c r="C48" s="164" t="s">
        <v>73</v>
      </c>
      <c r="D48" s="156">
        <f>D47*$B$45</f>
        <v>20</v>
      </c>
      <c r="F48" s="165"/>
      <c r="H48" s="149"/>
    </row>
    <row r="49" spans="1:12" ht="19.5" customHeight="1" x14ac:dyDescent="0.3">
      <c r="C49" s="166" t="s">
        <v>74</v>
      </c>
      <c r="D49" s="167">
        <f>D48/B34</f>
        <v>20</v>
      </c>
      <c r="F49" s="165"/>
      <c r="H49" s="149"/>
    </row>
    <row r="50" spans="1:12" ht="18.75" x14ac:dyDescent="0.3">
      <c r="C50" s="121" t="s">
        <v>75</v>
      </c>
      <c r="D50" s="168">
        <f>AVERAGE(E38:E41,G38:G41)</f>
        <v>641943.68710950122</v>
      </c>
      <c r="F50" s="169"/>
      <c r="H50" s="149"/>
    </row>
    <row r="51" spans="1:12" ht="18.75" x14ac:dyDescent="0.3">
      <c r="C51" s="123" t="s">
        <v>76</v>
      </c>
      <c r="D51" s="170">
        <f>STDEV(E38:E41,G38:G41)/D50</f>
        <v>4.1105442789551071E-3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77</v>
      </c>
    </row>
    <row r="55" spans="1:12" ht="18.75" x14ac:dyDescent="0.3">
      <c r="A55" s="99" t="s">
        <v>78</v>
      </c>
      <c r="B55" s="175" t="str">
        <f>B21</f>
        <v>Each tablet contains Loperamide hydrochloride 2 mg</v>
      </c>
    </row>
    <row r="56" spans="1:12" ht="26.25" customHeight="1" x14ac:dyDescent="0.4">
      <c r="A56" s="176" t="s">
        <v>122</v>
      </c>
      <c r="B56" s="177">
        <v>2</v>
      </c>
      <c r="C56" s="99" t="str">
        <f>B20</f>
        <v>Loperamide hydrochloride</v>
      </c>
      <c r="H56" s="178"/>
    </row>
    <row r="57" spans="1:12" ht="18.75" x14ac:dyDescent="0.3">
      <c r="A57" s="175" t="s">
        <v>123</v>
      </c>
      <c r="B57" s="246">
        <f>Uniformity!C46</f>
        <v>122.88849999999999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129</v>
      </c>
      <c r="B59" s="122">
        <v>250</v>
      </c>
      <c r="C59" s="99"/>
      <c r="D59" s="179" t="s">
        <v>130</v>
      </c>
      <c r="E59" s="180" t="s">
        <v>55</v>
      </c>
      <c r="F59" s="180" t="s">
        <v>56</v>
      </c>
      <c r="G59" s="180" t="s">
        <v>131</v>
      </c>
      <c r="H59" s="125" t="s">
        <v>132</v>
      </c>
      <c r="L59" s="111"/>
    </row>
    <row r="60" spans="1:12" s="14" customFormat="1" ht="26.25" customHeight="1" x14ac:dyDescent="0.4">
      <c r="A60" s="123" t="s">
        <v>133</v>
      </c>
      <c r="B60" s="124">
        <v>1</v>
      </c>
      <c r="C60" s="501" t="s">
        <v>134</v>
      </c>
      <c r="D60" s="504">
        <v>122.14</v>
      </c>
      <c r="E60" s="181">
        <v>1</v>
      </c>
      <c r="F60" s="182">
        <v>679108</v>
      </c>
      <c r="G60" s="247">
        <f>IF(ISBLANK(F60),"-",(F60/$D$50*$D$47*$B$68)*($B$57/$D$60))</f>
        <v>2.1287528253683075</v>
      </c>
      <c r="H60" s="265">
        <f t="shared" ref="H60:H71" si="0">IF(ISBLANK(F60),"-",(G60/$B$56)*100)</f>
        <v>106.43764126841538</v>
      </c>
      <c r="L60" s="111"/>
    </row>
    <row r="61" spans="1:12" s="14" customFormat="1" ht="26.25" customHeight="1" x14ac:dyDescent="0.4">
      <c r="A61" s="123" t="s">
        <v>106</v>
      </c>
      <c r="B61" s="124">
        <v>1</v>
      </c>
      <c r="C61" s="502"/>
      <c r="D61" s="505"/>
      <c r="E61" s="183">
        <v>2</v>
      </c>
      <c r="F61" s="136">
        <v>676024</v>
      </c>
      <c r="G61" s="248">
        <f>IF(ISBLANK(F61),"-",(F61/$D$50*$D$47*$B$68)*($B$57/$D$60))</f>
        <v>2.1190856241080724</v>
      </c>
      <c r="H61" s="266">
        <f t="shared" si="0"/>
        <v>105.95428120540362</v>
      </c>
      <c r="L61" s="111"/>
    </row>
    <row r="62" spans="1:12" s="14" customFormat="1" ht="26.25" customHeight="1" x14ac:dyDescent="0.4">
      <c r="A62" s="123" t="s">
        <v>107</v>
      </c>
      <c r="B62" s="124">
        <v>1</v>
      </c>
      <c r="C62" s="502"/>
      <c r="D62" s="505"/>
      <c r="E62" s="183">
        <v>3</v>
      </c>
      <c r="F62" s="184">
        <v>669812</v>
      </c>
      <c r="G62" s="248">
        <f>IF(ISBLANK(F62),"-",(F62/$D$50*$D$47*$B$68)*($B$57/$D$60))</f>
        <v>2.099613297834213</v>
      </c>
      <c r="H62" s="266">
        <f t="shared" si="0"/>
        <v>104.98066489171065</v>
      </c>
      <c r="L62" s="111"/>
    </row>
    <row r="63" spans="1:12" ht="27" customHeight="1" x14ac:dyDescent="0.4">
      <c r="A63" s="123" t="s">
        <v>108</v>
      </c>
      <c r="B63" s="124">
        <v>1</v>
      </c>
      <c r="C63" s="503"/>
      <c r="D63" s="506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109</v>
      </c>
      <c r="B64" s="124">
        <v>1</v>
      </c>
      <c r="C64" s="501" t="s">
        <v>135</v>
      </c>
      <c r="D64" s="504">
        <v>122.59</v>
      </c>
      <c r="E64" s="181">
        <v>1</v>
      </c>
      <c r="F64" s="182">
        <v>681950</v>
      </c>
      <c r="G64" s="247">
        <f>IF(ISBLANK(F64),"-",(F64/$D$50*$D$47*$B$68)*($B$57/$D$64))</f>
        <v>2.129814577148188</v>
      </c>
      <c r="H64" s="265">
        <f t="shared" si="0"/>
        <v>106.49072885740939</v>
      </c>
    </row>
    <row r="65" spans="1:8" ht="26.25" customHeight="1" x14ac:dyDescent="0.4">
      <c r="A65" s="123" t="s">
        <v>110</v>
      </c>
      <c r="B65" s="124">
        <v>1</v>
      </c>
      <c r="C65" s="502"/>
      <c r="D65" s="505"/>
      <c r="E65" s="183">
        <v>2</v>
      </c>
      <c r="F65" s="136">
        <v>680656</v>
      </c>
      <c r="G65" s="248">
        <f>IF(ISBLANK(F65),"-",(F65/$D$50*$D$47*$B$68)*($B$57/$D$64))</f>
        <v>2.1257732543784398</v>
      </c>
      <c r="H65" s="266">
        <f t="shared" si="0"/>
        <v>106.28866271892198</v>
      </c>
    </row>
    <row r="66" spans="1:8" ht="26.25" customHeight="1" x14ac:dyDescent="0.4">
      <c r="A66" s="123" t="s">
        <v>111</v>
      </c>
      <c r="B66" s="124">
        <v>1</v>
      </c>
      <c r="C66" s="502"/>
      <c r="D66" s="505"/>
      <c r="E66" s="183">
        <v>3</v>
      </c>
      <c r="F66" s="136">
        <v>679633</v>
      </c>
      <c r="G66" s="248">
        <f>IF(ISBLANK(F66),"-",(F66/$D$50*$D$47*$B$68)*($B$57/$D$64))</f>
        <v>2.1225782982783996</v>
      </c>
      <c r="H66" s="266">
        <f t="shared" si="0"/>
        <v>106.12891491391998</v>
      </c>
    </row>
    <row r="67" spans="1:8" ht="27" customHeight="1" x14ac:dyDescent="0.4">
      <c r="A67" s="123" t="s">
        <v>112</v>
      </c>
      <c r="B67" s="124">
        <v>1</v>
      </c>
      <c r="C67" s="503"/>
      <c r="D67" s="506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113</v>
      </c>
      <c r="B68" s="187">
        <f>(B67/B66)*(B65/B64)*(B63/B62)*(B61/B60)*B59</f>
        <v>250</v>
      </c>
      <c r="C68" s="501" t="s">
        <v>136</v>
      </c>
      <c r="D68" s="504">
        <v>122.74</v>
      </c>
      <c r="E68" s="181">
        <v>1</v>
      </c>
      <c r="F68" s="182">
        <v>681165</v>
      </c>
      <c r="G68" s="247">
        <f>IF(ISBLANK(F68),"-",(F68/$D$50*$D$47*$B$68)*($B$57/$D$68))</f>
        <v>2.1247630839897571</v>
      </c>
      <c r="H68" s="266">
        <f t="shared" si="0"/>
        <v>106.23815419948785</v>
      </c>
    </row>
    <row r="69" spans="1:8" ht="27" customHeight="1" x14ac:dyDescent="0.4">
      <c r="A69" s="171" t="s">
        <v>137</v>
      </c>
      <c r="B69" s="188">
        <f>(D47*B68)/B56*B57</f>
        <v>122.88849999999999</v>
      </c>
      <c r="C69" s="502"/>
      <c r="D69" s="505"/>
      <c r="E69" s="183">
        <v>2</v>
      </c>
      <c r="F69" s="136">
        <v>679527</v>
      </c>
      <c r="G69" s="248">
        <f>IF(ISBLANK(F69),"-",(F69/$D$50*$D$47*$B$68)*($B$57/$D$68))</f>
        <v>2.1196536583269956</v>
      </c>
      <c r="H69" s="266">
        <f t="shared" si="0"/>
        <v>105.98268291634977</v>
      </c>
    </row>
    <row r="70" spans="1:8" ht="26.25" customHeight="1" x14ac:dyDescent="0.4">
      <c r="A70" s="514" t="s">
        <v>70</v>
      </c>
      <c r="B70" s="515"/>
      <c r="C70" s="502"/>
      <c r="D70" s="505"/>
      <c r="E70" s="183">
        <v>3</v>
      </c>
      <c r="F70" s="136">
        <v>677614</v>
      </c>
      <c r="G70" s="248">
        <f>IF(ISBLANK(F70),"-",(F70/$D$50*$D$47*$B$68)*($B$57/$D$68))</f>
        <v>2.1136864231054666</v>
      </c>
      <c r="H70" s="266">
        <f t="shared" si="0"/>
        <v>105.68432115527332</v>
      </c>
    </row>
    <row r="71" spans="1:8" ht="27" customHeight="1" x14ac:dyDescent="0.4">
      <c r="A71" s="516"/>
      <c r="B71" s="517"/>
      <c r="C71" s="513"/>
      <c r="D71" s="506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63</v>
      </c>
      <c r="G72" s="253">
        <f>AVERAGE(G60:G71)</f>
        <v>2.1204134491708708</v>
      </c>
      <c r="H72" s="268">
        <f>AVERAGE(H60:H71)</f>
        <v>106.02067245854354</v>
      </c>
    </row>
    <row r="73" spans="1:8" ht="26.25" customHeight="1" x14ac:dyDescent="0.4">
      <c r="C73" s="189"/>
      <c r="D73" s="189"/>
      <c r="E73" s="189"/>
      <c r="F73" s="192" t="s">
        <v>76</v>
      </c>
      <c r="G73" s="252">
        <f>STDEV(G60:G71)/G72</f>
        <v>4.3814322915361791E-3</v>
      </c>
      <c r="H73" s="252">
        <f>STDEV(H60:H71)/H72</f>
        <v>4.381432291536193E-3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138</v>
      </c>
      <c r="B76" s="196" t="s">
        <v>87</v>
      </c>
      <c r="C76" s="509" t="str">
        <f>B26</f>
        <v>Loperamide hydrochloride</v>
      </c>
      <c r="D76" s="509"/>
      <c r="E76" s="197" t="s">
        <v>88</v>
      </c>
      <c r="F76" s="197"/>
      <c r="G76" s="198">
        <f>H72</f>
        <v>106.02067245854354</v>
      </c>
      <c r="H76" s="199"/>
    </row>
    <row r="77" spans="1:8" ht="18.75" x14ac:dyDescent="0.3">
      <c r="A77" s="106" t="s">
        <v>96</v>
      </c>
      <c r="B77" s="106" t="s">
        <v>97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484"/>
      <c r="C79" s="484"/>
    </row>
    <row r="80" spans="1:8" ht="26.25" customHeight="1" x14ac:dyDescent="0.4">
      <c r="A80" s="108" t="s">
        <v>41</v>
      </c>
      <c r="B80" s="484"/>
      <c r="C80" s="484"/>
    </row>
    <row r="81" spans="1:12" ht="27" customHeight="1" x14ac:dyDescent="0.4">
      <c r="A81" s="108" t="s">
        <v>6</v>
      </c>
      <c r="B81" s="200"/>
    </row>
    <row r="82" spans="1:12" s="14" customFormat="1" ht="27" customHeight="1" x14ac:dyDescent="0.4">
      <c r="A82" s="108" t="s">
        <v>42</v>
      </c>
      <c r="B82" s="110"/>
      <c r="C82" s="487" t="s">
        <v>98</v>
      </c>
      <c r="D82" s="488"/>
      <c r="E82" s="488"/>
      <c r="F82" s="488"/>
      <c r="G82" s="489"/>
      <c r="I82" s="111"/>
      <c r="J82" s="111"/>
      <c r="K82" s="111"/>
      <c r="L82" s="111"/>
    </row>
    <row r="83" spans="1:12" s="14" customFormat="1" ht="19.5" customHeight="1" x14ac:dyDescent="0.3">
      <c r="A83" s="108" t="s">
        <v>44</v>
      </c>
      <c r="B83" s="112">
        <f>B81-B82</f>
        <v>0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45</v>
      </c>
      <c r="B84" s="115"/>
      <c r="C84" s="490" t="s">
        <v>139</v>
      </c>
      <c r="D84" s="491"/>
      <c r="E84" s="491"/>
      <c r="F84" s="491"/>
      <c r="G84" s="491"/>
      <c r="H84" s="492"/>
      <c r="I84" s="111"/>
      <c r="J84" s="111"/>
      <c r="K84" s="111"/>
      <c r="L84" s="111"/>
    </row>
    <row r="85" spans="1:12" s="14" customFormat="1" ht="27" customHeight="1" x14ac:dyDescent="0.4">
      <c r="A85" s="108" t="s">
        <v>47</v>
      </c>
      <c r="B85" s="115"/>
      <c r="C85" s="490" t="s">
        <v>140</v>
      </c>
      <c r="D85" s="491"/>
      <c r="E85" s="491"/>
      <c r="F85" s="491"/>
      <c r="G85" s="491"/>
      <c r="H85" s="492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49</v>
      </c>
      <c r="B87" s="120" t="e">
        <f>B84/B85</f>
        <v>#DIV/0!</v>
      </c>
      <c r="C87" s="99" t="s">
        <v>50</v>
      </c>
      <c r="D87" s="99"/>
      <c r="E87" s="99"/>
      <c r="F87" s="99"/>
      <c r="G87" s="99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124</v>
      </c>
      <c r="B89" s="122">
        <v>1</v>
      </c>
      <c r="D89" s="201" t="s">
        <v>52</v>
      </c>
      <c r="E89" s="202"/>
      <c r="F89" s="493" t="s">
        <v>53</v>
      </c>
      <c r="G89" s="495"/>
    </row>
    <row r="90" spans="1:12" ht="27" customHeight="1" x14ac:dyDescent="0.4">
      <c r="A90" s="123" t="s">
        <v>54</v>
      </c>
      <c r="B90" s="124">
        <v>1</v>
      </c>
      <c r="C90" s="203" t="s">
        <v>55</v>
      </c>
      <c r="D90" s="126" t="s">
        <v>56</v>
      </c>
      <c r="E90" s="127" t="s">
        <v>57</v>
      </c>
      <c r="F90" s="126" t="s">
        <v>56</v>
      </c>
      <c r="G90" s="204" t="s">
        <v>57</v>
      </c>
      <c r="I90" s="129" t="s">
        <v>125</v>
      </c>
    </row>
    <row r="91" spans="1:12" ht="26.25" customHeight="1" x14ac:dyDescent="0.4">
      <c r="A91" s="123" t="s">
        <v>58</v>
      </c>
      <c r="B91" s="124">
        <v>1</v>
      </c>
      <c r="C91" s="205">
        <v>1</v>
      </c>
      <c r="D91" s="131"/>
      <c r="E91" s="132" t="str">
        <f>IF(ISBLANK(D91),"-",$D$101/$D$98*D91)</f>
        <v>-</v>
      </c>
      <c r="F91" s="131"/>
      <c r="G91" s="133" t="str">
        <f>IF(ISBLANK(F91),"-",$D$101/$F$98*F91)</f>
        <v>-</v>
      </c>
      <c r="I91" s="134"/>
    </row>
    <row r="92" spans="1:12" ht="26.25" customHeight="1" x14ac:dyDescent="0.4">
      <c r="A92" s="123" t="s">
        <v>59</v>
      </c>
      <c r="B92" s="124">
        <v>1</v>
      </c>
      <c r="C92" s="190">
        <v>2</v>
      </c>
      <c r="D92" s="136"/>
      <c r="E92" s="137" t="str">
        <f>IF(ISBLANK(D92),"-",$D$101/$D$98*D92)</f>
        <v>-</v>
      </c>
      <c r="F92" s="136"/>
      <c r="G92" s="138" t="str">
        <f>IF(ISBLANK(F92),"-",$D$101/$F$98*F92)</f>
        <v>-</v>
      </c>
      <c r="I92" s="496" t="e">
        <f>ABS((F96/D96*D95)-F95)/D95</f>
        <v>#DIV/0!</v>
      </c>
    </row>
    <row r="93" spans="1:12" ht="26.25" customHeight="1" x14ac:dyDescent="0.4">
      <c r="A93" s="123" t="s">
        <v>60</v>
      </c>
      <c r="B93" s="124">
        <v>1</v>
      </c>
      <c r="C93" s="190">
        <v>3</v>
      </c>
      <c r="D93" s="136"/>
      <c r="E93" s="137" t="str">
        <f>IF(ISBLANK(D93),"-",$D$101/$D$98*D93)</f>
        <v>-</v>
      </c>
      <c r="F93" s="136"/>
      <c r="G93" s="138" t="str">
        <f>IF(ISBLANK(F93),"-",$D$101/$F$98*F93)</f>
        <v>-</v>
      </c>
      <c r="I93" s="496"/>
    </row>
    <row r="94" spans="1:12" ht="27" customHeight="1" x14ac:dyDescent="0.4">
      <c r="A94" s="123" t="s">
        <v>61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62</v>
      </c>
      <c r="B95" s="124">
        <v>1</v>
      </c>
      <c r="C95" s="208" t="s">
        <v>63</v>
      </c>
      <c r="D95" s="209" t="e">
        <f>AVERAGE(D91:D94)</f>
        <v>#DIV/0!</v>
      </c>
      <c r="E95" s="147" t="e">
        <f>AVERAGE(E91:E94)</f>
        <v>#DIV/0!</v>
      </c>
      <c r="F95" s="210" t="e">
        <f>AVERAGE(F91:F94)</f>
        <v>#DIV/0!</v>
      </c>
      <c r="G95" s="211" t="e">
        <f>AVERAGE(G91:G94)</f>
        <v>#DIV/0!</v>
      </c>
    </row>
    <row r="96" spans="1:12" ht="26.25" customHeight="1" x14ac:dyDescent="0.4">
      <c r="A96" s="123" t="s">
        <v>64</v>
      </c>
      <c r="B96" s="109">
        <v>1</v>
      </c>
      <c r="C96" s="212" t="s">
        <v>65</v>
      </c>
      <c r="D96" s="213"/>
      <c r="E96" s="139"/>
      <c r="F96" s="151"/>
    </row>
    <row r="97" spans="1:10" ht="26.25" customHeight="1" x14ac:dyDescent="0.4">
      <c r="A97" s="123" t="s">
        <v>66</v>
      </c>
      <c r="B97" s="109">
        <v>1</v>
      </c>
      <c r="C97" s="214" t="s">
        <v>67</v>
      </c>
      <c r="D97" s="215" t="e">
        <f>D96*$B$87</f>
        <v>#DIV/0!</v>
      </c>
      <c r="E97" s="154"/>
      <c r="F97" s="153" t="e">
        <f>F96*$B$87</f>
        <v>#DIV/0!</v>
      </c>
    </row>
    <row r="98" spans="1:10" ht="19.5" customHeight="1" x14ac:dyDescent="0.3">
      <c r="A98" s="123" t="s">
        <v>68</v>
      </c>
      <c r="B98" s="216">
        <f>(B97/B96)*(B95/B94)*(B93/B92)*(B91/B90)*B89</f>
        <v>1</v>
      </c>
      <c r="C98" s="214" t="s">
        <v>141</v>
      </c>
      <c r="D98" s="217" t="e">
        <f>D97*$B$83/100</f>
        <v>#DIV/0!</v>
      </c>
      <c r="E98" s="157"/>
      <c r="F98" s="156" t="e">
        <f>F97*$B$83/100</f>
        <v>#DIV/0!</v>
      </c>
    </row>
    <row r="99" spans="1:10" ht="19.5" customHeight="1" x14ac:dyDescent="0.3">
      <c r="A99" s="497" t="s">
        <v>70</v>
      </c>
      <c r="B99" s="511"/>
      <c r="C99" s="214" t="s">
        <v>142</v>
      </c>
      <c r="D99" s="218" t="e">
        <f>D98/$B$98</f>
        <v>#DIV/0!</v>
      </c>
      <c r="E99" s="157"/>
      <c r="F99" s="160" t="e">
        <f>F98/$B$98</f>
        <v>#DIV/0!</v>
      </c>
      <c r="G99" s="219"/>
      <c r="H99" s="149"/>
    </row>
    <row r="100" spans="1:10" ht="19.5" customHeight="1" x14ac:dyDescent="0.3">
      <c r="A100" s="499"/>
      <c r="B100" s="512"/>
      <c r="C100" s="214" t="s">
        <v>128</v>
      </c>
      <c r="D100" s="220">
        <f>$B$56/$B$116</f>
        <v>2</v>
      </c>
      <c r="F100" s="165"/>
      <c r="G100" s="221"/>
      <c r="H100" s="149"/>
    </row>
    <row r="101" spans="1:10" ht="18.75" x14ac:dyDescent="0.3">
      <c r="C101" s="214" t="s">
        <v>73</v>
      </c>
      <c r="D101" s="215">
        <f>D100*$B$98</f>
        <v>2</v>
      </c>
      <c r="F101" s="165"/>
      <c r="G101" s="219"/>
      <c r="H101" s="149"/>
    </row>
    <row r="102" spans="1:10" ht="19.5" customHeight="1" x14ac:dyDescent="0.3">
      <c r="C102" s="222" t="s">
        <v>74</v>
      </c>
      <c r="D102" s="223">
        <f>D101/B34</f>
        <v>2</v>
      </c>
      <c r="F102" s="169"/>
      <c r="G102" s="219"/>
      <c r="H102" s="149"/>
      <c r="J102" s="224"/>
    </row>
    <row r="103" spans="1:10" ht="18.75" x14ac:dyDescent="0.3">
      <c r="C103" s="225" t="s">
        <v>143</v>
      </c>
      <c r="D103" s="226" t="e">
        <f>AVERAGE(E91:E94,G91:G94)</f>
        <v>#DIV/0!</v>
      </c>
      <c r="F103" s="169"/>
      <c r="G103" s="227"/>
      <c r="H103" s="149"/>
      <c r="J103" s="228"/>
    </row>
    <row r="104" spans="1:10" ht="18.75" x14ac:dyDescent="0.3">
      <c r="C104" s="192" t="s">
        <v>76</v>
      </c>
      <c r="D104" s="229" t="e">
        <f>STDEV(E91:E94,G91:G94)/D103</f>
        <v>#DIV/0!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0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101</v>
      </c>
      <c r="B107" s="122">
        <v>1</v>
      </c>
      <c r="C107" s="269" t="s">
        <v>144</v>
      </c>
      <c r="D107" s="269" t="s">
        <v>56</v>
      </c>
      <c r="E107" s="269" t="s">
        <v>103</v>
      </c>
      <c r="F107" s="231" t="s">
        <v>104</v>
      </c>
    </row>
    <row r="108" spans="1:10" ht="26.25" customHeight="1" x14ac:dyDescent="0.4">
      <c r="A108" s="123" t="s">
        <v>105</v>
      </c>
      <c r="B108" s="124">
        <v>1</v>
      </c>
      <c r="C108" s="274">
        <v>1</v>
      </c>
      <c r="D108" s="275"/>
      <c r="E108" s="249" t="str">
        <f t="shared" ref="E108:E113" si="1">IF(ISBLANK(D108),"-",D108/$D$103*$D$100*$B$116)</f>
        <v>-</v>
      </c>
      <c r="F108" s="276" t="str">
        <f t="shared" ref="F108:F113" si="2">IF(ISBLANK(D108), "-", (E108/$B$56)*100)</f>
        <v>-</v>
      </c>
    </row>
    <row r="109" spans="1:10" ht="26.25" customHeight="1" x14ac:dyDescent="0.4">
      <c r="A109" s="123" t="s">
        <v>106</v>
      </c>
      <c r="B109" s="124">
        <v>1</v>
      </c>
      <c r="C109" s="270">
        <v>2</v>
      </c>
      <c r="D109" s="272"/>
      <c r="E109" s="250" t="str">
        <f t="shared" si="1"/>
        <v>-</v>
      </c>
      <c r="F109" s="277" t="str">
        <f t="shared" si="2"/>
        <v>-</v>
      </c>
    </row>
    <row r="110" spans="1:10" ht="26.25" customHeight="1" x14ac:dyDescent="0.4">
      <c r="A110" s="123" t="s">
        <v>107</v>
      </c>
      <c r="B110" s="124">
        <v>1</v>
      </c>
      <c r="C110" s="270">
        <v>3</v>
      </c>
      <c r="D110" s="272"/>
      <c r="E110" s="250" t="str">
        <f t="shared" si="1"/>
        <v>-</v>
      </c>
      <c r="F110" s="277" t="str">
        <f t="shared" si="2"/>
        <v>-</v>
      </c>
    </row>
    <row r="111" spans="1:10" ht="26.25" customHeight="1" x14ac:dyDescent="0.4">
      <c r="A111" s="123" t="s">
        <v>108</v>
      </c>
      <c r="B111" s="124">
        <v>1</v>
      </c>
      <c r="C111" s="270">
        <v>4</v>
      </c>
      <c r="D111" s="272"/>
      <c r="E111" s="250" t="str">
        <f t="shared" si="1"/>
        <v>-</v>
      </c>
      <c r="F111" s="277" t="str">
        <f t="shared" si="2"/>
        <v>-</v>
      </c>
    </row>
    <row r="112" spans="1:10" ht="26.25" customHeight="1" x14ac:dyDescent="0.4">
      <c r="A112" s="123" t="s">
        <v>109</v>
      </c>
      <c r="B112" s="124">
        <v>1</v>
      </c>
      <c r="C112" s="270">
        <v>5</v>
      </c>
      <c r="D112" s="272"/>
      <c r="E112" s="250" t="str">
        <f t="shared" si="1"/>
        <v>-</v>
      </c>
      <c r="F112" s="277" t="str">
        <f t="shared" si="2"/>
        <v>-</v>
      </c>
    </row>
    <row r="113" spans="1:10" ht="27" customHeight="1" x14ac:dyDescent="0.4">
      <c r="A113" s="123" t="s">
        <v>110</v>
      </c>
      <c r="B113" s="124">
        <v>1</v>
      </c>
      <c r="C113" s="271">
        <v>6</v>
      </c>
      <c r="D113" s="273"/>
      <c r="E113" s="251" t="str">
        <f t="shared" si="1"/>
        <v>-</v>
      </c>
      <c r="F113" s="278" t="str">
        <f t="shared" si="2"/>
        <v>-</v>
      </c>
    </row>
    <row r="114" spans="1:10" ht="27" customHeight="1" x14ac:dyDescent="0.4">
      <c r="A114" s="123" t="s">
        <v>111</v>
      </c>
      <c r="B114" s="124">
        <v>1</v>
      </c>
      <c r="C114" s="232"/>
      <c r="D114" s="190"/>
      <c r="E114" s="98"/>
      <c r="F114" s="279"/>
    </row>
    <row r="115" spans="1:10" ht="26.25" customHeight="1" x14ac:dyDescent="0.4">
      <c r="A115" s="123" t="s">
        <v>112</v>
      </c>
      <c r="B115" s="124">
        <v>1</v>
      </c>
      <c r="C115" s="232"/>
      <c r="D115" s="256" t="s">
        <v>63</v>
      </c>
      <c r="E115" s="258" t="e">
        <f>AVERAGE(E108:E113)</f>
        <v>#DIV/0!</v>
      </c>
      <c r="F115" s="280" t="e">
        <f>AVERAGE(F108:F113)</f>
        <v>#DIV/0!</v>
      </c>
    </row>
    <row r="116" spans="1:10" ht="27" customHeight="1" x14ac:dyDescent="0.4">
      <c r="A116" s="123" t="s">
        <v>113</v>
      </c>
      <c r="B116" s="155">
        <f>(B115/B114)*(B113/B112)*(B111/B110)*(B109/B108)*B107</f>
        <v>1</v>
      </c>
      <c r="C116" s="233"/>
      <c r="D116" s="257" t="s">
        <v>76</v>
      </c>
      <c r="E116" s="255" t="e">
        <f>STDEV(E108:E113)/E115</f>
        <v>#DIV/0!</v>
      </c>
      <c r="F116" s="234" t="e">
        <f>STDEV(F108:F113)/F115</f>
        <v>#DIV/0!</v>
      </c>
      <c r="I116" s="98"/>
    </row>
    <row r="117" spans="1:10" ht="27" customHeight="1" x14ac:dyDescent="0.4">
      <c r="A117" s="497" t="s">
        <v>70</v>
      </c>
      <c r="B117" s="498"/>
      <c r="C117" s="235"/>
      <c r="D117" s="194" t="s">
        <v>20</v>
      </c>
      <c r="E117" s="260">
        <f>COUNT(E108:E113)</f>
        <v>0</v>
      </c>
      <c r="F117" s="261">
        <f>COUNT(F108:F113)</f>
        <v>0</v>
      </c>
      <c r="I117" s="98"/>
      <c r="J117" s="228"/>
    </row>
    <row r="118" spans="1:10" ht="26.25" customHeight="1" x14ac:dyDescent="0.3">
      <c r="A118" s="499"/>
      <c r="B118" s="500"/>
      <c r="C118" s="98"/>
      <c r="D118" s="259"/>
      <c r="E118" s="477" t="s">
        <v>145</v>
      </c>
      <c r="F118" s="478"/>
      <c r="G118" s="98"/>
      <c r="H118" s="98"/>
      <c r="I118" s="98"/>
    </row>
    <row r="119" spans="1:10" ht="25.5" customHeight="1" x14ac:dyDescent="0.4">
      <c r="A119" s="244"/>
      <c r="B119" s="119"/>
      <c r="C119" s="98"/>
      <c r="D119" s="257" t="s">
        <v>146</v>
      </c>
      <c r="E119" s="262">
        <f>MIN(E108:E113)</f>
        <v>0</v>
      </c>
      <c r="F119" s="281">
        <f>MIN(F108:F113)</f>
        <v>0</v>
      </c>
      <c r="G119" s="98"/>
      <c r="H119" s="98"/>
      <c r="I119" s="98"/>
    </row>
    <row r="120" spans="1:10" ht="24" customHeight="1" x14ac:dyDescent="0.4">
      <c r="A120" s="244"/>
      <c r="B120" s="119"/>
      <c r="C120" s="98"/>
      <c r="D120" s="166" t="s">
        <v>147</v>
      </c>
      <c r="E120" s="263">
        <f>MAX(E108:E113)</f>
        <v>0</v>
      </c>
      <c r="F120" s="282">
        <f>MAX(F108:F113)</f>
        <v>0</v>
      </c>
      <c r="G120" s="98"/>
      <c r="H120" s="98"/>
      <c r="I120" s="98"/>
    </row>
    <row r="121" spans="1:10" ht="27" customHeight="1" x14ac:dyDescent="0.3">
      <c r="A121" s="244"/>
      <c r="B121" s="119"/>
      <c r="C121" s="98"/>
      <c r="D121" s="98"/>
      <c r="E121" s="98"/>
      <c r="F121" s="190"/>
      <c r="G121" s="98"/>
      <c r="H121" s="98"/>
      <c r="I121" s="98"/>
    </row>
    <row r="122" spans="1:10" ht="25.5" customHeight="1" x14ac:dyDescent="0.3">
      <c r="A122" s="244"/>
      <c r="B122" s="119"/>
      <c r="C122" s="98"/>
      <c r="D122" s="98"/>
      <c r="E122" s="98"/>
      <c r="F122" s="190"/>
      <c r="G122" s="98"/>
      <c r="H122" s="98"/>
      <c r="I122" s="98"/>
    </row>
    <row r="123" spans="1:10" ht="18.75" x14ac:dyDescent="0.3">
      <c r="A123" s="244"/>
      <c r="B123" s="119"/>
      <c r="C123" s="98"/>
      <c r="D123" s="98"/>
      <c r="E123" s="98"/>
      <c r="F123" s="190"/>
      <c r="G123" s="98"/>
      <c r="H123" s="98"/>
      <c r="I123" s="98"/>
    </row>
    <row r="124" spans="1:10" ht="45.75" customHeight="1" x14ac:dyDescent="0.65">
      <c r="A124" s="107" t="s">
        <v>138</v>
      </c>
      <c r="B124" s="196" t="s">
        <v>114</v>
      </c>
      <c r="C124" s="509" t="str">
        <f>B26</f>
        <v>Loperamide hydrochloride</v>
      </c>
      <c r="D124" s="509"/>
      <c r="E124" s="197" t="s">
        <v>115</v>
      </c>
      <c r="F124" s="197"/>
      <c r="G124" s="283" t="e">
        <f>F115</f>
        <v>#DIV/0!</v>
      </c>
      <c r="H124" s="98"/>
      <c r="I124" s="98"/>
    </row>
    <row r="125" spans="1:10" ht="45.75" customHeight="1" x14ac:dyDescent="0.65">
      <c r="A125" s="107"/>
      <c r="B125" s="196" t="s">
        <v>148</v>
      </c>
      <c r="C125" s="108" t="s">
        <v>149</v>
      </c>
      <c r="D125" s="283">
        <f>MIN(F108:F113)</f>
        <v>0</v>
      </c>
      <c r="E125" s="208" t="s">
        <v>150</v>
      </c>
      <c r="F125" s="283">
        <f>MAX(F108:F113)</f>
        <v>0</v>
      </c>
      <c r="G125" s="198"/>
      <c r="H125" s="98"/>
      <c r="I125" s="98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510" t="s">
        <v>26</v>
      </c>
      <c r="C127" s="510"/>
      <c r="E127" s="203" t="s">
        <v>27</v>
      </c>
      <c r="F127" s="238"/>
      <c r="G127" s="510" t="s">
        <v>28</v>
      </c>
      <c r="H127" s="510"/>
    </row>
    <row r="128" spans="1:10" ht="69.95" customHeight="1" x14ac:dyDescent="0.3">
      <c r="A128" s="239" t="s">
        <v>29</v>
      </c>
      <c r="B128" s="240"/>
      <c r="C128" s="240"/>
      <c r="E128" s="240"/>
      <c r="F128" s="98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8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8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8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8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8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8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8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8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8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1" priority="1" operator="greaterThan">
      <formula>0.02</formula>
    </cfRule>
  </conditionalFormatting>
  <conditionalFormatting sqref="D51">
    <cfRule type="cellIs" dxfId="10" priority="2" operator="greaterThan">
      <formula>0.02</formula>
    </cfRule>
  </conditionalFormatting>
  <conditionalFormatting sqref="G73">
    <cfRule type="cellIs" dxfId="9" priority="3" operator="greaterThan">
      <formula>0.02</formula>
    </cfRule>
  </conditionalFormatting>
  <conditionalFormatting sqref="H73">
    <cfRule type="cellIs" dxfId="8" priority="4" operator="greaterThan">
      <formula>0.02</formula>
    </cfRule>
  </conditionalFormatting>
  <conditionalFormatting sqref="D104">
    <cfRule type="cellIs" dxfId="7" priority="5" operator="greaterThan">
      <formula>0.02</formula>
    </cfRule>
  </conditionalFormatting>
  <conditionalFormatting sqref="I39">
    <cfRule type="cellIs" dxfId="6" priority="6" operator="lessThanOrEqual">
      <formula>0.02</formula>
    </cfRule>
  </conditionalFormatting>
  <conditionalFormatting sqref="I39">
    <cfRule type="cellIs" dxfId="5" priority="7" operator="greaterThan">
      <formula>0.02</formula>
    </cfRule>
  </conditionalFormatting>
  <conditionalFormatting sqref="I92">
    <cfRule type="cellIs" dxfId="4" priority="8" operator="lessThanOrEqual">
      <formula>0.02</formula>
    </cfRule>
  </conditionalFormatting>
  <conditionalFormatting sqref="I92">
    <cfRule type="cellIs" dxfId="3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52" zoomScale="60" zoomScaleNormal="70" workbookViewId="0">
      <selection activeCell="B23" sqref="B23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507" t="s">
        <v>31</v>
      </c>
      <c r="B1" s="507"/>
      <c r="C1" s="507"/>
      <c r="D1" s="507"/>
      <c r="E1" s="507"/>
      <c r="F1" s="507"/>
      <c r="G1" s="507"/>
    </row>
    <row r="2" spans="1:7" x14ac:dyDescent="0.2">
      <c r="A2" s="507"/>
      <c r="B2" s="507"/>
      <c r="C2" s="507"/>
      <c r="D2" s="507"/>
      <c r="E2" s="507"/>
      <c r="F2" s="507"/>
      <c r="G2" s="507"/>
    </row>
    <row r="3" spans="1:7" x14ac:dyDescent="0.2">
      <c r="A3" s="507"/>
      <c r="B3" s="507"/>
      <c r="C3" s="507"/>
      <c r="D3" s="507"/>
      <c r="E3" s="507"/>
      <c r="F3" s="507"/>
      <c r="G3" s="507"/>
    </row>
    <row r="4" spans="1:7" x14ac:dyDescent="0.2">
      <c r="A4" s="507"/>
      <c r="B4" s="507"/>
      <c r="C4" s="507"/>
      <c r="D4" s="507"/>
      <c r="E4" s="507"/>
      <c r="F4" s="507"/>
      <c r="G4" s="507"/>
    </row>
    <row r="5" spans="1:7" x14ac:dyDescent="0.2">
      <c r="A5" s="507"/>
      <c r="B5" s="507"/>
      <c r="C5" s="507"/>
      <c r="D5" s="507"/>
      <c r="E5" s="507"/>
      <c r="F5" s="507"/>
      <c r="G5" s="507"/>
    </row>
    <row r="6" spans="1:7" x14ac:dyDescent="0.2">
      <c r="A6" s="507"/>
      <c r="B6" s="507"/>
      <c r="C6" s="507"/>
      <c r="D6" s="507"/>
      <c r="E6" s="507"/>
      <c r="F6" s="507"/>
      <c r="G6" s="507"/>
    </row>
    <row r="7" spans="1:7" x14ac:dyDescent="0.2">
      <c r="A7" s="507"/>
      <c r="B7" s="507"/>
      <c r="C7" s="507"/>
      <c r="D7" s="507"/>
      <c r="E7" s="507"/>
      <c r="F7" s="507"/>
      <c r="G7" s="507"/>
    </row>
    <row r="8" spans="1:7" x14ac:dyDescent="0.2">
      <c r="A8" s="508" t="s">
        <v>32</v>
      </c>
      <c r="B8" s="508"/>
      <c r="C8" s="508"/>
      <c r="D8" s="508"/>
      <c r="E8" s="508"/>
      <c r="F8" s="508"/>
      <c r="G8" s="508"/>
    </row>
    <row r="9" spans="1:7" x14ac:dyDescent="0.2">
      <c r="A9" s="508"/>
      <c r="B9" s="508"/>
      <c r="C9" s="508"/>
      <c r="D9" s="508"/>
      <c r="E9" s="508"/>
      <c r="F9" s="508"/>
      <c r="G9" s="508"/>
    </row>
    <row r="10" spans="1:7" x14ac:dyDescent="0.2">
      <c r="A10" s="508"/>
      <c r="B10" s="508"/>
      <c r="C10" s="508"/>
      <c r="D10" s="508"/>
      <c r="E10" s="508"/>
      <c r="F10" s="508"/>
      <c r="G10" s="508"/>
    </row>
    <row r="11" spans="1:7" x14ac:dyDescent="0.2">
      <c r="A11" s="508"/>
      <c r="B11" s="508"/>
      <c r="C11" s="508"/>
      <c r="D11" s="508"/>
      <c r="E11" s="508"/>
      <c r="F11" s="508"/>
      <c r="G11" s="508"/>
    </row>
    <row r="12" spans="1:7" x14ac:dyDescent="0.2">
      <c r="A12" s="508"/>
      <c r="B12" s="508"/>
      <c r="C12" s="508"/>
      <c r="D12" s="508"/>
      <c r="E12" s="508"/>
      <c r="F12" s="508"/>
      <c r="G12" s="508"/>
    </row>
    <row r="13" spans="1:7" x14ac:dyDescent="0.2">
      <c r="A13" s="508"/>
      <c r="B13" s="508"/>
      <c r="C13" s="508"/>
      <c r="D13" s="508"/>
      <c r="E13" s="508"/>
      <c r="F13" s="508"/>
      <c r="G13" s="508"/>
    </row>
    <row r="14" spans="1:7" x14ac:dyDescent="0.2">
      <c r="A14" s="508"/>
      <c r="B14" s="508"/>
      <c r="C14" s="508"/>
      <c r="D14" s="508"/>
      <c r="E14" s="508"/>
      <c r="F14" s="508"/>
      <c r="G14" s="508"/>
    </row>
    <row r="15" spans="1:7" ht="19.5" customHeight="1" x14ac:dyDescent="0.3">
      <c r="A15" s="284"/>
      <c r="B15" s="284"/>
      <c r="C15" s="284"/>
      <c r="D15" s="284"/>
      <c r="E15" s="284"/>
      <c r="F15" s="284"/>
      <c r="G15" s="284"/>
    </row>
    <row r="16" spans="1:7" ht="19.5" customHeight="1" x14ac:dyDescent="0.3">
      <c r="A16" s="480" t="s">
        <v>33</v>
      </c>
      <c r="B16" s="481"/>
      <c r="C16" s="481"/>
      <c r="D16" s="481"/>
      <c r="E16" s="481"/>
      <c r="F16" s="481"/>
      <c r="G16" s="481"/>
    </row>
    <row r="17" spans="1:7" ht="18.75" customHeight="1" x14ac:dyDescent="0.3">
      <c r="A17" s="285" t="s">
        <v>34</v>
      </c>
      <c r="B17" s="285"/>
      <c r="C17" s="284"/>
      <c r="D17" s="284"/>
      <c r="E17" s="284"/>
      <c r="F17" s="284"/>
      <c r="G17" s="284"/>
    </row>
    <row r="18" spans="1:7" ht="26.25" customHeight="1" x14ac:dyDescent="0.4">
      <c r="A18" s="286" t="s">
        <v>35</v>
      </c>
      <c r="B18" s="484" t="s">
        <v>5</v>
      </c>
      <c r="C18" s="484"/>
      <c r="D18" s="287"/>
      <c r="E18" s="287"/>
      <c r="F18" s="284"/>
      <c r="G18" s="284"/>
    </row>
    <row r="19" spans="1:7" ht="26.25" customHeight="1" x14ac:dyDescent="0.4">
      <c r="A19" s="286" t="s">
        <v>36</v>
      </c>
      <c r="B19" s="463" t="s">
        <v>7</v>
      </c>
      <c r="C19" s="388">
        <v>36</v>
      </c>
      <c r="E19" s="284"/>
      <c r="F19" s="284"/>
      <c r="G19" s="284"/>
    </row>
    <row r="20" spans="1:7" ht="26.25" customHeight="1" x14ac:dyDescent="0.4">
      <c r="A20" s="286" t="s">
        <v>37</v>
      </c>
      <c r="B20" s="485" t="s">
        <v>9</v>
      </c>
      <c r="C20" s="485"/>
      <c r="D20" s="284"/>
      <c r="E20" s="284"/>
      <c r="F20" s="284"/>
      <c r="G20" s="284"/>
    </row>
    <row r="21" spans="1:7" ht="26.25" customHeight="1" x14ac:dyDescent="0.4">
      <c r="A21" s="286" t="s">
        <v>38</v>
      </c>
      <c r="B21" s="288" t="s">
        <v>11</v>
      </c>
      <c r="C21" s="288"/>
      <c r="D21" s="289"/>
      <c r="E21" s="289"/>
      <c r="F21" s="289"/>
      <c r="G21" s="289"/>
    </row>
    <row r="22" spans="1:7" ht="26.25" customHeight="1" x14ac:dyDescent="0.4">
      <c r="A22" s="286" t="s">
        <v>39</v>
      </c>
      <c r="B22" s="290">
        <v>42703</v>
      </c>
      <c r="C22" s="291"/>
      <c r="D22" s="284"/>
      <c r="E22" s="284"/>
      <c r="F22" s="284"/>
      <c r="G22" s="284"/>
    </row>
    <row r="23" spans="1:7" ht="26.25" customHeight="1" x14ac:dyDescent="0.4">
      <c r="A23" s="286" t="s">
        <v>40</v>
      </c>
      <c r="B23" s="290"/>
      <c r="C23" s="291"/>
      <c r="D23" s="284"/>
      <c r="E23" s="284"/>
      <c r="F23" s="284"/>
      <c r="G23" s="284"/>
    </row>
    <row r="24" spans="1:7" ht="18.75" customHeight="1" x14ac:dyDescent="0.3">
      <c r="A24" s="286"/>
      <c r="B24" s="292"/>
      <c r="C24" s="284"/>
      <c r="D24" s="284"/>
      <c r="E24" s="284"/>
      <c r="F24" s="284"/>
      <c r="G24" s="284"/>
    </row>
    <row r="25" spans="1:7" ht="18.75" customHeight="1" x14ac:dyDescent="0.3">
      <c r="A25" s="293" t="s">
        <v>1</v>
      </c>
      <c r="B25" s="292"/>
      <c r="C25" s="284"/>
      <c r="D25" s="284"/>
      <c r="E25" s="284"/>
      <c r="F25" s="284"/>
      <c r="G25" s="284"/>
    </row>
    <row r="26" spans="1:7" ht="26.25" customHeight="1" x14ac:dyDescent="0.4">
      <c r="A26" s="294" t="s">
        <v>4</v>
      </c>
      <c r="B26" s="484" t="s">
        <v>9</v>
      </c>
      <c r="C26" s="484"/>
      <c r="D26" s="284"/>
      <c r="E26" s="284"/>
      <c r="F26" s="284"/>
      <c r="G26" s="284"/>
    </row>
    <row r="27" spans="1:7" ht="26.25" customHeight="1" x14ac:dyDescent="0.4">
      <c r="A27" s="295" t="s">
        <v>41</v>
      </c>
      <c r="B27" s="485" t="s">
        <v>151</v>
      </c>
      <c r="C27" s="485"/>
      <c r="D27" s="284"/>
      <c r="E27" s="284"/>
      <c r="F27" s="284"/>
      <c r="G27" s="284"/>
    </row>
    <row r="28" spans="1:7" ht="27" customHeight="1" x14ac:dyDescent="0.4">
      <c r="A28" s="295" t="s">
        <v>6</v>
      </c>
      <c r="B28" s="296">
        <v>99.89</v>
      </c>
      <c r="C28" s="284"/>
      <c r="D28" s="284"/>
      <c r="E28" s="284"/>
      <c r="F28" s="284"/>
      <c r="G28" s="284"/>
    </row>
    <row r="29" spans="1:7" ht="27" customHeight="1" x14ac:dyDescent="0.4">
      <c r="A29" s="295" t="s">
        <v>42</v>
      </c>
      <c r="B29" s="297">
        <v>0</v>
      </c>
      <c r="C29" s="490" t="s">
        <v>43</v>
      </c>
      <c r="D29" s="491"/>
      <c r="E29" s="491"/>
      <c r="F29" s="491"/>
      <c r="G29" s="492"/>
    </row>
    <row r="30" spans="1:7" ht="19.5" customHeight="1" x14ac:dyDescent="0.3">
      <c r="A30" s="295" t="s">
        <v>44</v>
      </c>
      <c r="B30" s="299">
        <f>B28-B29</f>
        <v>99.89</v>
      </c>
      <c r="C30" s="300"/>
      <c r="D30" s="300"/>
      <c r="E30" s="300"/>
      <c r="F30" s="300"/>
      <c r="G30" s="300"/>
    </row>
    <row r="31" spans="1:7" ht="27" customHeight="1" x14ac:dyDescent="0.4">
      <c r="A31" s="295" t="s">
        <v>45</v>
      </c>
      <c r="B31" s="301">
        <v>1</v>
      </c>
      <c r="C31" s="490" t="s">
        <v>46</v>
      </c>
      <c r="D31" s="491"/>
      <c r="E31" s="491"/>
      <c r="F31" s="491"/>
      <c r="G31" s="492"/>
    </row>
    <row r="32" spans="1:7" ht="27" customHeight="1" x14ac:dyDescent="0.4">
      <c r="A32" s="295" t="s">
        <v>47</v>
      </c>
      <c r="B32" s="301">
        <v>1</v>
      </c>
      <c r="C32" s="490" t="s">
        <v>48</v>
      </c>
      <c r="D32" s="491"/>
      <c r="E32" s="491"/>
      <c r="F32" s="491"/>
      <c r="G32" s="492"/>
    </row>
    <row r="33" spans="1:7" ht="18.75" customHeight="1" x14ac:dyDescent="0.3">
      <c r="A33" s="295"/>
      <c r="B33" s="302"/>
      <c r="C33" s="303"/>
      <c r="D33" s="303"/>
      <c r="E33" s="303"/>
      <c r="F33" s="303"/>
      <c r="G33" s="303"/>
    </row>
    <row r="34" spans="1:7" ht="18.75" customHeight="1" x14ac:dyDescent="0.3">
      <c r="A34" s="295" t="s">
        <v>49</v>
      </c>
      <c r="B34" s="304">
        <f>B31/B32</f>
        <v>1</v>
      </c>
      <c r="C34" s="284" t="s">
        <v>50</v>
      </c>
      <c r="D34" s="284"/>
      <c r="E34" s="284"/>
      <c r="F34" s="284"/>
      <c r="G34" s="284"/>
    </row>
    <row r="35" spans="1:7" ht="19.5" customHeight="1" x14ac:dyDescent="0.3">
      <c r="A35" s="295"/>
      <c r="B35" s="299"/>
      <c r="C35" s="298"/>
      <c r="D35" s="298"/>
      <c r="E35" s="298"/>
      <c r="F35" s="298"/>
      <c r="G35" s="284"/>
    </row>
    <row r="36" spans="1:7" ht="27" customHeight="1" x14ac:dyDescent="0.4">
      <c r="A36" s="305" t="s">
        <v>51</v>
      </c>
      <c r="B36" s="306">
        <v>10</v>
      </c>
      <c r="C36" s="284"/>
      <c r="D36" s="493" t="s">
        <v>52</v>
      </c>
      <c r="E36" s="494"/>
      <c r="F36" s="493" t="s">
        <v>53</v>
      </c>
      <c r="G36" s="495"/>
    </row>
    <row r="37" spans="1:7" ht="26.25" customHeight="1" x14ac:dyDescent="0.4">
      <c r="A37" s="307" t="s">
        <v>54</v>
      </c>
      <c r="B37" s="308">
        <v>2</v>
      </c>
      <c r="C37" s="309" t="s">
        <v>55</v>
      </c>
      <c r="D37" s="310" t="s">
        <v>56</v>
      </c>
      <c r="E37" s="311" t="s">
        <v>57</v>
      </c>
      <c r="F37" s="310" t="s">
        <v>56</v>
      </c>
      <c r="G37" s="312" t="s">
        <v>57</v>
      </c>
    </row>
    <row r="38" spans="1:7" ht="26.25" customHeight="1" x14ac:dyDescent="0.4">
      <c r="A38" s="307" t="s">
        <v>58</v>
      </c>
      <c r="B38" s="308">
        <v>20</v>
      </c>
      <c r="C38" s="313">
        <v>1</v>
      </c>
      <c r="D38" s="314">
        <v>642861</v>
      </c>
      <c r="E38" s="315">
        <f>IF(ISBLANK(D38),"-",$D$48/$D$45*D38)</f>
        <v>639095.25900536263</v>
      </c>
      <c r="F38" s="314">
        <v>697541</v>
      </c>
      <c r="G38" s="316">
        <f>IF(ISBLANK(F38),"-",$D$48/$F$45*F38)</f>
        <v>645685.75132136804</v>
      </c>
    </row>
    <row r="39" spans="1:7" ht="26.25" customHeight="1" x14ac:dyDescent="0.4">
      <c r="A39" s="307" t="s">
        <v>59</v>
      </c>
      <c r="B39" s="308">
        <v>10</v>
      </c>
      <c r="C39" s="317">
        <v>2</v>
      </c>
      <c r="D39" s="318">
        <v>643124</v>
      </c>
      <c r="E39" s="319">
        <f>IF(ISBLANK(D39),"-",$D$48/$D$45*D39)</f>
        <v>639356.71840812382</v>
      </c>
      <c r="F39" s="318">
        <v>693210</v>
      </c>
      <c r="G39" s="320">
        <f>IF(ISBLANK(F39),"-",$D$48/$F$45*F39)</f>
        <v>641676.7181764018</v>
      </c>
    </row>
    <row r="40" spans="1:7" ht="26.25" customHeight="1" x14ac:dyDescent="0.4">
      <c r="A40" s="307" t="s">
        <v>60</v>
      </c>
      <c r="B40" s="308">
        <v>250</v>
      </c>
      <c r="C40" s="317">
        <v>3</v>
      </c>
      <c r="D40" s="318">
        <v>648137</v>
      </c>
      <c r="E40" s="319">
        <f>IF(ISBLANK(D40),"-",$D$48/$D$45*D40)</f>
        <v>644340.35333603807</v>
      </c>
      <c r="F40" s="318">
        <v>693027</v>
      </c>
      <c r="G40" s="320">
        <f>IF(ISBLANK(F40),"-",$D$48/$F$45*F40)</f>
        <v>641507.32240971318</v>
      </c>
    </row>
    <row r="41" spans="1:7" ht="26.25" customHeight="1" x14ac:dyDescent="0.4">
      <c r="A41" s="307" t="s">
        <v>61</v>
      </c>
      <c r="B41" s="308">
        <v>1</v>
      </c>
      <c r="C41" s="321">
        <v>4</v>
      </c>
      <c r="D41" s="322"/>
      <c r="E41" s="323" t="str">
        <f>IF(ISBLANK(D41),"-",$D$48/$D$45*D41)</f>
        <v>-</v>
      </c>
      <c r="F41" s="322"/>
      <c r="G41" s="324" t="str">
        <f>IF(ISBLANK(F41),"-",$D$48/$F$45*F41)</f>
        <v>-</v>
      </c>
    </row>
    <row r="42" spans="1:7" ht="27" customHeight="1" x14ac:dyDescent="0.4">
      <c r="A42" s="307" t="s">
        <v>62</v>
      </c>
      <c r="B42" s="308">
        <v>1</v>
      </c>
      <c r="C42" s="325" t="s">
        <v>63</v>
      </c>
      <c r="D42" s="326">
        <f>AVERAGE(D38:D41)</f>
        <v>644707.33333333337</v>
      </c>
      <c r="E42" s="327">
        <f>AVERAGE(E38:E41)</f>
        <v>640930.77691650821</v>
      </c>
      <c r="F42" s="326">
        <f>AVERAGE(F38:F41)</f>
        <v>694592.66666666663</v>
      </c>
      <c r="G42" s="328">
        <f>AVERAGE(G38:G41)</f>
        <v>642956.59730249434</v>
      </c>
    </row>
    <row r="43" spans="1:7" ht="26.25" customHeight="1" x14ac:dyDescent="0.4">
      <c r="A43" s="307" t="s">
        <v>64</v>
      </c>
      <c r="B43" s="308">
        <v>1</v>
      </c>
      <c r="C43" s="329" t="s">
        <v>65</v>
      </c>
      <c r="D43" s="330">
        <v>20.14</v>
      </c>
      <c r="E43" s="331"/>
      <c r="F43" s="330">
        <v>21.63</v>
      </c>
      <c r="G43" s="284"/>
    </row>
    <row r="44" spans="1:7" ht="26.25" customHeight="1" x14ac:dyDescent="0.4">
      <c r="A44" s="307" t="s">
        <v>66</v>
      </c>
      <c r="B44" s="308">
        <v>1</v>
      </c>
      <c r="C44" s="332" t="s">
        <v>67</v>
      </c>
      <c r="D44" s="333">
        <f>D43*$B$34</f>
        <v>20.14</v>
      </c>
      <c r="E44" s="334"/>
      <c r="F44" s="333">
        <f>F43*$B$34</f>
        <v>21.63</v>
      </c>
      <c r="G44" s="284"/>
    </row>
    <row r="45" spans="1:7" ht="19.5" customHeight="1" x14ac:dyDescent="0.3">
      <c r="A45" s="307" t="s">
        <v>68</v>
      </c>
      <c r="B45" s="335">
        <f>(B44/B43)*(B42/B41)*(B40/B39)*(B38/B37)*B36</f>
        <v>2500</v>
      </c>
      <c r="C45" s="332" t="s">
        <v>69</v>
      </c>
      <c r="D45" s="336">
        <f>D44*$B$30/100</f>
        <v>20.117846</v>
      </c>
      <c r="E45" s="337"/>
      <c r="F45" s="336">
        <f>F44*$B$30/100</f>
        <v>21.606206999999998</v>
      </c>
      <c r="G45" s="284"/>
    </row>
    <row r="46" spans="1:7" ht="19.5" customHeight="1" x14ac:dyDescent="0.3">
      <c r="A46" s="497" t="s">
        <v>70</v>
      </c>
      <c r="B46" s="498"/>
      <c r="C46" s="332" t="s">
        <v>71</v>
      </c>
      <c r="D46" s="333">
        <f>D45/$B$45</f>
        <v>8.0471384000000007E-3</v>
      </c>
      <c r="E46" s="337"/>
      <c r="F46" s="338">
        <f>F45/$B$45</f>
        <v>8.6424827999999985E-3</v>
      </c>
      <c r="G46" s="284"/>
    </row>
    <row r="47" spans="1:7" ht="27" customHeight="1" x14ac:dyDescent="0.4">
      <c r="A47" s="499"/>
      <c r="B47" s="500"/>
      <c r="C47" s="339" t="s">
        <v>72</v>
      </c>
      <c r="D47" s="340">
        <v>8.0000000000000002E-3</v>
      </c>
      <c r="E47" s="284"/>
      <c r="F47" s="341"/>
      <c r="G47" s="284"/>
    </row>
    <row r="48" spans="1:7" ht="18.75" customHeight="1" x14ac:dyDescent="0.3">
      <c r="A48" s="284"/>
      <c r="B48" s="284"/>
      <c r="C48" s="342" t="s">
        <v>73</v>
      </c>
      <c r="D48" s="336">
        <f>D47*$B$45</f>
        <v>20</v>
      </c>
      <c r="E48" s="284"/>
      <c r="F48" s="341"/>
      <c r="G48" s="284"/>
    </row>
    <row r="49" spans="1:7" ht="19.5" customHeight="1" x14ac:dyDescent="0.3">
      <c r="A49" s="284"/>
      <c r="B49" s="284"/>
      <c r="C49" s="343" t="s">
        <v>74</v>
      </c>
      <c r="D49" s="344">
        <f>D48/B34</f>
        <v>20</v>
      </c>
      <c r="E49" s="284"/>
      <c r="F49" s="341"/>
      <c r="G49" s="284"/>
    </row>
    <row r="50" spans="1:7" ht="18.75" customHeight="1" x14ac:dyDescent="0.3">
      <c r="A50" s="284"/>
      <c r="B50" s="284"/>
      <c r="C50" s="305" t="s">
        <v>75</v>
      </c>
      <c r="D50" s="345">
        <f>AVERAGE(E38:E41,G38:G41)</f>
        <v>641943.68710950122</v>
      </c>
      <c r="E50" s="284"/>
      <c r="F50" s="346"/>
      <c r="G50" s="284"/>
    </row>
    <row r="51" spans="1:7" ht="18.75" customHeight="1" x14ac:dyDescent="0.3">
      <c r="A51" s="284"/>
      <c r="B51" s="284"/>
      <c r="C51" s="307" t="s">
        <v>76</v>
      </c>
      <c r="D51" s="347">
        <f>STDEV(E38:E41,G38:G41)/D50</f>
        <v>4.1105442789551071E-3</v>
      </c>
      <c r="E51" s="284"/>
      <c r="F51" s="346"/>
      <c r="G51" s="284"/>
    </row>
    <row r="52" spans="1:7" ht="19.5" customHeight="1" x14ac:dyDescent="0.3">
      <c r="A52" s="284"/>
      <c r="B52" s="284"/>
      <c r="C52" s="348" t="s">
        <v>20</v>
      </c>
      <c r="D52" s="349">
        <f>COUNT(E38:E41,G38:G41)</f>
        <v>6</v>
      </c>
      <c r="E52" s="284"/>
      <c r="F52" s="346"/>
      <c r="G52" s="284"/>
    </row>
    <row r="53" spans="1:7" ht="18.75" customHeight="1" x14ac:dyDescent="0.3">
      <c r="A53" s="284"/>
      <c r="B53" s="284"/>
      <c r="C53" s="284"/>
      <c r="D53" s="284"/>
      <c r="E53" s="284"/>
      <c r="F53" s="284"/>
      <c r="G53" s="284"/>
    </row>
    <row r="54" spans="1:7" ht="18.75" customHeight="1" x14ac:dyDescent="0.3">
      <c r="A54" s="285" t="s">
        <v>1</v>
      </c>
      <c r="B54" s="350" t="s">
        <v>77</v>
      </c>
      <c r="C54" s="284"/>
      <c r="D54" s="284"/>
      <c r="E54" s="284"/>
      <c r="F54" s="284"/>
      <c r="G54" s="284"/>
    </row>
    <row r="55" spans="1:7" ht="18.75" customHeight="1" x14ac:dyDescent="0.3">
      <c r="A55" s="284" t="s">
        <v>78</v>
      </c>
      <c r="B55" s="351" t="str">
        <f>B21</f>
        <v>Each tablet contains Loperamide hydrochloride 2 mg</v>
      </c>
      <c r="C55" s="284"/>
      <c r="D55" s="284"/>
      <c r="E55" s="284"/>
      <c r="F55" s="284"/>
      <c r="G55" s="284"/>
    </row>
    <row r="56" spans="1:7" ht="26.25" customHeight="1" x14ac:dyDescent="0.4">
      <c r="A56" s="352" t="s">
        <v>122</v>
      </c>
      <c r="B56" s="353">
        <v>2</v>
      </c>
      <c r="C56" s="284" t="str">
        <f>B20</f>
        <v>Loperamide hydrochloride</v>
      </c>
      <c r="D56" s="284"/>
      <c r="E56" s="284"/>
      <c r="F56" s="284"/>
      <c r="G56" s="284"/>
    </row>
    <row r="57" spans="1:7" ht="17.25" customHeight="1" x14ac:dyDescent="0.3">
      <c r="A57" s="354" t="s">
        <v>123</v>
      </c>
      <c r="B57" s="354">
        <f>Uniformity!C46</f>
        <v>122.88849999999999</v>
      </c>
      <c r="C57" s="354"/>
      <c r="D57" s="355"/>
      <c r="E57" s="355"/>
      <c r="F57" s="355"/>
      <c r="G57" s="355"/>
    </row>
    <row r="58" spans="1:7" ht="57.75" customHeight="1" x14ac:dyDescent="0.4">
      <c r="A58" s="305" t="s">
        <v>79</v>
      </c>
      <c r="B58" s="306">
        <v>250</v>
      </c>
      <c r="C58" s="356" t="s">
        <v>80</v>
      </c>
      <c r="D58" s="357" t="s">
        <v>81</v>
      </c>
      <c r="E58" s="358" t="s">
        <v>82</v>
      </c>
      <c r="F58" s="359" t="s">
        <v>83</v>
      </c>
      <c r="G58" s="360" t="s">
        <v>84</v>
      </c>
    </row>
    <row r="59" spans="1:7" ht="26.25" customHeight="1" x14ac:dyDescent="0.4">
      <c r="A59" s="307" t="s">
        <v>54</v>
      </c>
      <c r="B59" s="308">
        <v>1</v>
      </c>
      <c r="C59" s="361">
        <v>1</v>
      </c>
      <c r="D59" s="464">
        <v>551338</v>
      </c>
      <c r="E59" s="362">
        <f t="shared" ref="E59:E68" si="0">IF(ISBLANK(D59),"-",D59/$D$50*$D$47*$B$67)</f>
        <v>1.7177145318852682</v>
      </c>
      <c r="F59" s="363">
        <f t="shared" ref="F59:F68" si="1">IF(ISBLANK(D59),"-",E59/$E$70*100)</f>
        <v>99.696176364539184</v>
      </c>
      <c r="G59" s="364">
        <f t="shared" ref="G59:G68" si="2">IF(ISBLANK(D59),"-",E59/$B$56*100)</f>
        <v>85.885726594263417</v>
      </c>
    </row>
    <row r="60" spans="1:7" ht="26.25" customHeight="1" x14ac:dyDescent="0.4">
      <c r="A60" s="307" t="s">
        <v>58</v>
      </c>
      <c r="B60" s="308">
        <v>1</v>
      </c>
      <c r="C60" s="365">
        <v>2</v>
      </c>
      <c r="D60" s="465">
        <v>556772</v>
      </c>
      <c r="E60" s="366">
        <f t="shared" si="0"/>
        <v>1.734644365791628</v>
      </c>
      <c r="F60" s="367">
        <f t="shared" si="1"/>
        <v>100.67878417021356</v>
      </c>
      <c r="G60" s="368">
        <f t="shared" si="2"/>
        <v>86.732218289581397</v>
      </c>
    </row>
    <row r="61" spans="1:7" ht="26.25" customHeight="1" x14ac:dyDescent="0.4">
      <c r="A61" s="307" t="s">
        <v>59</v>
      </c>
      <c r="B61" s="308">
        <v>1</v>
      </c>
      <c r="C61" s="365">
        <v>3</v>
      </c>
      <c r="D61" s="465">
        <v>550863</v>
      </c>
      <c r="E61" s="366">
        <f t="shared" si="0"/>
        <v>1.7162346512990483</v>
      </c>
      <c r="F61" s="367">
        <f t="shared" si="1"/>
        <v>99.610284073833398</v>
      </c>
      <c r="G61" s="368">
        <f t="shared" si="2"/>
        <v>85.811732564952408</v>
      </c>
    </row>
    <row r="62" spans="1:7" ht="26.25" customHeight="1" x14ac:dyDescent="0.4">
      <c r="A62" s="307" t="s">
        <v>60</v>
      </c>
      <c r="B62" s="308">
        <v>1</v>
      </c>
      <c r="C62" s="365">
        <v>4</v>
      </c>
      <c r="D62" s="465">
        <v>557706</v>
      </c>
      <c r="E62" s="366">
        <f t="shared" si="0"/>
        <v>1.7375542783548483</v>
      </c>
      <c r="F62" s="367">
        <f t="shared" si="1"/>
        <v>100.84767553762246</v>
      </c>
      <c r="G62" s="368">
        <f t="shared" si="2"/>
        <v>86.877713917742412</v>
      </c>
    </row>
    <row r="63" spans="1:7" ht="26.25" customHeight="1" x14ac:dyDescent="0.4">
      <c r="A63" s="307" t="s">
        <v>61</v>
      </c>
      <c r="B63" s="308">
        <v>1</v>
      </c>
      <c r="C63" s="365">
        <v>5</v>
      </c>
      <c r="D63" s="465">
        <v>556210</v>
      </c>
      <c r="E63" s="366">
        <f t="shared" si="0"/>
        <v>1.7328934333927739</v>
      </c>
      <c r="F63" s="367">
        <f t="shared" si="1"/>
        <v>100.57716002836798</v>
      </c>
      <c r="G63" s="368">
        <f t="shared" si="2"/>
        <v>86.644671669638697</v>
      </c>
    </row>
    <row r="64" spans="1:7" ht="26.25" customHeight="1" x14ac:dyDescent="0.4">
      <c r="A64" s="307" t="s">
        <v>62</v>
      </c>
      <c r="B64" s="308">
        <v>1</v>
      </c>
      <c r="C64" s="365">
        <v>6</v>
      </c>
      <c r="D64" s="465">
        <v>551780</v>
      </c>
      <c r="E64" s="366">
        <f t="shared" si="0"/>
        <v>1.7190915997149723</v>
      </c>
      <c r="F64" s="367">
        <f t="shared" si="1"/>
        <v>99.776101401364386</v>
      </c>
      <c r="G64" s="368">
        <f t="shared" si="2"/>
        <v>85.954579985748609</v>
      </c>
    </row>
    <row r="65" spans="1:7" ht="26.25" customHeight="1" x14ac:dyDescent="0.4">
      <c r="A65" s="307" t="s">
        <v>64</v>
      </c>
      <c r="B65" s="308">
        <v>1</v>
      </c>
      <c r="C65" s="365">
        <v>7</v>
      </c>
      <c r="D65" s="465">
        <v>543384</v>
      </c>
      <c r="E65" s="366">
        <f t="shared" si="0"/>
        <v>1.6929335420267506</v>
      </c>
      <c r="F65" s="367">
        <f t="shared" si="1"/>
        <v>98.257887353436118</v>
      </c>
      <c r="G65" s="368">
        <f t="shared" si="2"/>
        <v>84.646677101337531</v>
      </c>
    </row>
    <row r="66" spans="1:7" ht="26.25" customHeight="1" x14ac:dyDescent="0.4">
      <c r="A66" s="307" t="s">
        <v>66</v>
      </c>
      <c r="B66" s="308">
        <v>1</v>
      </c>
      <c r="C66" s="365">
        <v>8</v>
      </c>
      <c r="D66" s="465">
        <v>555318</v>
      </c>
      <c r="E66" s="366">
        <f t="shared" si="0"/>
        <v>1.7301143734287558</v>
      </c>
      <c r="F66" s="367">
        <f t="shared" si="1"/>
        <v>100.41586334771624</v>
      </c>
      <c r="G66" s="368">
        <f t="shared" si="2"/>
        <v>86.505718671437791</v>
      </c>
    </row>
    <row r="67" spans="1:7" ht="27" customHeight="1" x14ac:dyDescent="0.4">
      <c r="A67" s="307" t="s">
        <v>68</v>
      </c>
      <c r="B67" s="335">
        <f>(B66/B65)*(B64/B63)*(B62/B61)*(B60/B59)*B58</f>
        <v>250</v>
      </c>
      <c r="C67" s="365">
        <v>9</v>
      </c>
      <c r="D67" s="465">
        <v>561638</v>
      </c>
      <c r="E67" s="366">
        <f t="shared" si="0"/>
        <v>1.7498045740706758</v>
      </c>
      <c r="F67" s="367">
        <f t="shared" si="1"/>
        <v>101.55868287879133</v>
      </c>
      <c r="G67" s="368">
        <f t="shared" si="2"/>
        <v>87.490228703533788</v>
      </c>
    </row>
    <row r="68" spans="1:7" ht="27" customHeight="1" x14ac:dyDescent="0.4">
      <c r="A68" s="497" t="s">
        <v>70</v>
      </c>
      <c r="B68" s="511"/>
      <c r="C68" s="369">
        <v>10</v>
      </c>
      <c r="D68" s="466">
        <v>545173</v>
      </c>
      <c r="E68" s="370">
        <f t="shared" si="0"/>
        <v>1.6985072396451675</v>
      </c>
      <c r="F68" s="371">
        <f t="shared" si="1"/>
        <v>98.581384844115433</v>
      </c>
      <c r="G68" s="372">
        <f t="shared" si="2"/>
        <v>84.92536198225838</v>
      </c>
    </row>
    <row r="69" spans="1:7" ht="19.5" customHeight="1" x14ac:dyDescent="0.3">
      <c r="A69" s="499"/>
      <c r="B69" s="512"/>
      <c r="C69" s="365"/>
      <c r="D69" s="337"/>
      <c r="E69" s="373"/>
      <c r="F69" s="355"/>
      <c r="G69" s="374"/>
    </row>
    <row r="70" spans="1:7" ht="26.25" customHeight="1" x14ac:dyDescent="0.4">
      <c r="A70" s="355"/>
      <c r="B70" s="355"/>
      <c r="C70" s="375" t="s">
        <v>85</v>
      </c>
      <c r="D70" s="376"/>
      <c r="E70" s="377">
        <f>AVERAGE(E59:E68)</f>
        <v>1.7229492589609887</v>
      </c>
      <c r="F70" s="377">
        <f>AVERAGE(F59:F68)</f>
        <v>100.00000000000001</v>
      </c>
      <c r="G70" s="378">
        <f>AVERAGE(G59:G68)</f>
        <v>86.147462948049451</v>
      </c>
    </row>
    <row r="71" spans="1:7" ht="26.25" customHeight="1" x14ac:dyDescent="0.4">
      <c r="A71" s="355"/>
      <c r="B71" s="355"/>
      <c r="C71" s="375"/>
      <c r="D71" s="376"/>
      <c r="E71" s="379">
        <f>STDEV(E59:E68)/E70</f>
        <v>1.0250524879048581E-2</v>
      </c>
      <c r="F71" s="379">
        <f>STDEV(F59:F68)/F70</f>
        <v>1.0250524879048595E-2</v>
      </c>
      <c r="G71" s="380">
        <f>STDEV(G59:G68)/G70</f>
        <v>1.0250524879048562E-2</v>
      </c>
    </row>
    <row r="72" spans="1:7" ht="27" customHeight="1" x14ac:dyDescent="0.4">
      <c r="A72" s="355"/>
      <c r="B72" s="355"/>
      <c r="C72" s="381"/>
      <c r="D72" s="382"/>
      <c r="E72" s="383">
        <f>COUNT(E59:E68)</f>
        <v>10</v>
      </c>
      <c r="F72" s="383">
        <f>COUNT(F59:F68)</f>
        <v>10</v>
      </c>
      <c r="G72" s="384">
        <f>COUNT(G59:G68)</f>
        <v>10</v>
      </c>
    </row>
    <row r="73" spans="1:7" ht="18.75" customHeight="1" x14ac:dyDescent="0.3">
      <c r="A73" s="355"/>
      <c r="B73" s="385"/>
      <c r="C73" s="385"/>
      <c r="D73" s="334"/>
      <c r="E73" s="376"/>
      <c r="F73" s="331"/>
      <c r="G73" s="386"/>
    </row>
    <row r="74" spans="1:7" ht="18.75" customHeight="1" x14ac:dyDescent="0.3">
      <c r="A74" s="294" t="s">
        <v>86</v>
      </c>
      <c r="B74" s="387" t="s">
        <v>87</v>
      </c>
      <c r="C74" s="509" t="str">
        <f>B20</f>
        <v>Loperamide hydrochloride</v>
      </c>
      <c r="D74" s="509"/>
      <c r="E74" s="388" t="s">
        <v>88</v>
      </c>
      <c r="F74" s="388"/>
      <c r="G74" s="389">
        <f>G70</f>
        <v>86.147462948049451</v>
      </c>
    </row>
    <row r="75" spans="1:7" ht="18.75" customHeight="1" x14ac:dyDescent="0.3">
      <c r="A75" s="294"/>
      <c r="B75" s="387"/>
      <c r="C75" s="390"/>
      <c r="D75" s="390"/>
      <c r="E75" s="388"/>
      <c r="F75" s="388"/>
      <c r="G75" s="391"/>
    </row>
    <row r="76" spans="1:7" ht="18.75" customHeight="1" x14ac:dyDescent="0.3">
      <c r="A76" s="285" t="s">
        <v>1</v>
      </c>
      <c r="B76" s="392" t="s">
        <v>89</v>
      </c>
      <c r="C76" s="284"/>
      <c r="D76" s="284"/>
      <c r="E76" s="284"/>
      <c r="F76" s="284"/>
      <c r="G76" s="355"/>
    </row>
    <row r="77" spans="1:7" ht="18.75" customHeight="1" x14ac:dyDescent="0.3">
      <c r="A77" s="285"/>
      <c r="B77" s="350"/>
      <c r="C77" s="284"/>
      <c r="D77" s="284"/>
      <c r="E77" s="284"/>
      <c r="F77" s="284"/>
      <c r="G77" s="355"/>
    </row>
    <row r="78" spans="1:7" ht="18.75" customHeight="1" x14ac:dyDescent="0.3">
      <c r="A78" s="355"/>
      <c r="B78" s="518" t="s">
        <v>90</v>
      </c>
      <c r="C78" s="519"/>
      <c r="D78" s="284"/>
      <c r="E78" s="355"/>
      <c r="F78" s="355"/>
      <c r="G78" s="355"/>
    </row>
    <row r="79" spans="1:7" ht="18.75" customHeight="1" x14ac:dyDescent="0.3">
      <c r="A79" s="355"/>
      <c r="B79" s="393" t="s">
        <v>91</v>
      </c>
      <c r="C79" s="394">
        <f>G70</f>
        <v>86.147462948049451</v>
      </c>
      <c r="D79" s="284"/>
      <c r="E79" s="355"/>
      <c r="F79" s="355"/>
      <c r="G79" s="355"/>
    </row>
    <row r="80" spans="1:7" ht="26.25" customHeight="1" x14ac:dyDescent="0.4">
      <c r="A80" s="355"/>
      <c r="B80" s="393" t="s">
        <v>92</v>
      </c>
      <c r="C80" s="395">
        <v>2.4</v>
      </c>
      <c r="D80" s="284"/>
      <c r="E80" s="355"/>
      <c r="F80" s="355"/>
      <c r="G80" s="355"/>
    </row>
    <row r="81" spans="1:7" ht="18.75" customHeight="1" x14ac:dyDescent="0.3">
      <c r="A81" s="355"/>
      <c r="B81" s="393" t="s">
        <v>93</v>
      </c>
      <c r="C81" s="394">
        <f>STDEV(G59:G68)</f>
        <v>0.8830567122158951</v>
      </c>
      <c r="D81" s="284"/>
      <c r="E81" s="355"/>
      <c r="F81" s="355"/>
      <c r="G81" s="355"/>
    </row>
    <row r="82" spans="1:7" ht="18.75" customHeight="1" x14ac:dyDescent="0.3">
      <c r="A82" s="355"/>
      <c r="B82" s="393" t="s">
        <v>94</v>
      </c>
      <c r="C82" s="394">
        <f>IF(OR(G70&lt;98.5,G70&gt;101.5),(IF(98.5&gt;G70,98.5,101.5)),C79)</f>
        <v>98.5</v>
      </c>
      <c r="D82" s="284"/>
      <c r="E82" s="355"/>
      <c r="F82" s="355"/>
      <c r="G82" s="355"/>
    </row>
    <row r="83" spans="1:7" ht="18.75" customHeight="1" x14ac:dyDescent="0.3">
      <c r="A83" s="355"/>
      <c r="B83" s="393" t="s">
        <v>95</v>
      </c>
      <c r="C83" s="396">
        <f>ABS(C82-C79)+(C80*C81)</f>
        <v>14.471873161268697</v>
      </c>
      <c r="D83" s="284"/>
      <c r="E83" s="355"/>
      <c r="F83" s="355"/>
      <c r="G83" s="355"/>
    </row>
    <row r="84" spans="1:7" ht="18.75" customHeight="1" x14ac:dyDescent="0.3">
      <c r="A84" s="352"/>
      <c r="B84" s="397"/>
      <c r="C84" s="284"/>
      <c r="D84" s="284"/>
      <c r="E84" s="284"/>
      <c r="F84" s="284"/>
      <c r="G84" s="284"/>
    </row>
    <row r="85" spans="1:7" ht="18.75" customHeight="1" x14ac:dyDescent="0.3">
      <c r="A85" s="293" t="s">
        <v>96</v>
      </c>
      <c r="B85" s="293" t="s">
        <v>97</v>
      </c>
      <c r="C85" s="284"/>
      <c r="D85" s="284"/>
      <c r="E85" s="284"/>
      <c r="F85" s="284"/>
      <c r="G85" s="284"/>
    </row>
    <row r="86" spans="1:7" ht="18.75" customHeight="1" x14ac:dyDescent="0.3">
      <c r="A86" s="293"/>
      <c r="B86" s="293"/>
      <c r="C86" s="284"/>
      <c r="D86" s="284"/>
      <c r="E86" s="284"/>
      <c r="F86" s="284"/>
      <c r="G86" s="284"/>
    </row>
    <row r="87" spans="1:7" ht="26.25" customHeight="1" x14ac:dyDescent="0.4">
      <c r="A87" s="294" t="s">
        <v>4</v>
      </c>
      <c r="B87" s="484" t="s">
        <v>9</v>
      </c>
      <c r="C87" s="484"/>
      <c r="D87" s="284"/>
      <c r="E87" s="284"/>
      <c r="F87" s="284"/>
      <c r="G87" s="284"/>
    </row>
    <row r="88" spans="1:7" ht="26.25" customHeight="1" x14ac:dyDescent="0.4">
      <c r="A88" s="295" t="s">
        <v>41</v>
      </c>
      <c r="B88" s="485" t="s">
        <v>151</v>
      </c>
      <c r="C88" s="485"/>
      <c r="D88" s="284"/>
      <c r="E88" s="284"/>
      <c r="F88" s="284"/>
      <c r="G88" s="284"/>
    </row>
    <row r="89" spans="1:7" ht="27" customHeight="1" x14ac:dyDescent="0.4">
      <c r="A89" s="295" t="s">
        <v>6</v>
      </c>
      <c r="B89" s="296">
        <v>99.89</v>
      </c>
      <c r="C89" s="284"/>
      <c r="D89" s="284"/>
      <c r="E89" s="284"/>
      <c r="F89" s="284"/>
      <c r="G89" s="284"/>
    </row>
    <row r="90" spans="1:7" ht="27" customHeight="1" x14ac:dyDescent="0.4">
      <c r="A90" s="295" t="s">
        <v>42</v>
      </c>
      <c r="B90" s="296">
        <f>B33</f>
        <v>0</v>
      </c>
      <c r="C90" s="487" t="s">
        <v>98</v>
      </c>
      <c r="D90" s="488"/>
      <c r="E90" s="488"/>
      <c r="F90" s="488"/>
      <c r="G90" s="489"/>
    </row>
    <row r="91" spans="1:7" ht="18.75" customHeight="1" x14ac:dyDescent="0.3">
      <c r="A91" s="295" t="s">
        <v>44</v>
      </c>
      <c r="B91" s="299">
        <f>B89-B90</f>
        <v>99.89</v>
      </c>
      <c r="C91" s="398"/>
      <c r="D91" s="398"/>
      <c r="E91" s="398"/>
      <c r="F91" s="398"/>
      <c r="G91" s="399"/>
    </row>
    <row r="92" spans="1:7" ht="19.5" customHeight="1" x14ac:dyDescent="0.3">
      <c r="A92" s="295"/>
      <c r="B92" s="299"/>
      <c r="C92" s="398"/>
      <c r="D92" s="398"/>
      <c r="E92" s="398"/>
      <c r="F92" s="398"/>
      <c r="G92" s="399"/>
    </row>
    <row r="93" spans="1:7" ht="27" customHeight="1" x14ac:dyDescent="0.4">
      <c r="A93" s="295" t="s">
        <v>45</v>
      </c>
      <c r="B93" s="301">
        <v>1</v>
      </c>
      <c r="C93" s="490" t="s">
        <v>99</v>
      </c>
      <c r="D93" s="491"/>
      <c r="E93" s="491"/>
      <c r="F93" s="491"/>
      <c r="G93" s="491"/>
    </row>
    <row r="94" spans="1:7" ht="27" customHeight="1" x14ac:dyDescent="0.4">
      <c r="A94" s="295" t="s">
        <v>47</v>
      </c>
      <c r="B94" s="301">
        <v>1</v>
      </c>
      <c r="C94" s="490" t="s">
        <v>100</v>
      </c>
      <c r="D94" s="491"/>
      <c r="E94" s="491"/>
      <c r="F94" s="491"/>
      <c r="G94" s="491"/>
    </row>
    <row r="95" spans="1:7" ht="18.75" customHeight="1" x14ac:dyDescent="0.3">
      <c r="A95" s="295"/>
      <c r="B95" s="302"/>
      <c r="C95" s="303"/>
      <c r="D95" s="303"/>
      <c r="E95" s="303"/>
      <c r="F95" s="303"/>
      <c r="G95" s="303"/>
    </row>
    <row r="96" spans="1:7" ht="18.75" customHeight="1" x14ac:dyDescent="0.3">
      <c r="A96" s="295" t="s">
        <v>49</v>
      </c>
      <c r="B96" s="304">
        <f>B93/B94</f>
        <v>1</v>
      </c>
      <c r="C96" s="284" t="s">
        <v>50</v>
      </c>
      <c r="D96" s="284"/>
      <c r="E96" s="284"/>
      <c r="F96" s="284"/>
      <c r="G96" s="284"/>
    </row>
    <row r="97" spans="1:7" ht="19.5" customHeight="1" x14ac:dyDescent="0.3">
      <c r="A97" s="293"/>
      <c r="B97" s="293"/>
      <c r="C97" s="284"/>
      <c r="D97" s="284"/>
      <c r="E97" s="284"/>
      <c r="F97" s="284"/>
      <c r="G97" s="284"/>
    </row>
    <row r="98" spans="1:7" ht="27" customHeight="1" x14ac:dyDescent="0.4">
      <c r="A98" s="305" t="s">
        <v>51</v>
      </c>
      <c r="B98" s="400">
        <v>50</v>
      </c>
      <c r="C98" s="284"/>
      <c r="D98" s="401" t="s">
        <v>52</v>
      </c>
      <c r="E98" s="402"/>
      <c r="F98" s="493" t="s">
        <v>53</v>
      </c>
      <c r="G98" s="495"/>
    </row>
    <row r="99" spans="1:7" ht="26.25" customHeight="1" x14ac:dyDescent="0.4">
      <c r="A99" s="307" t="s">
        <v>54</v>
      </c>
      <c r="B99" s="403">
        <v>5</v>
      </c>
      <c r="C99" s="309" t="s">
        <v>55</v>
      </c>
      <c r="D99" s="310" t="s">
        <v>56</v>
      </c>
      <c r="E99" s="311" t="s">
        <v>57</v>
      </c>
      <c r="F99" s="310" t="s">
        <v>56</v>
      </c>
      <c r="G99" s="312" t="s">
        <v>57</v>
      </c>
    </row>
    <row r="100" spans="1:7" ht="26.25" customHeight="1" x14ac:dyDescent="0.4">
      <c r="A100" s="307" t="s">
        <v>58</v>
      </c>
      <c r="B100" s="403">
        <v>50</v>
      </c>
      <c r="C100" s="313">
        <v>1</v>
      </c>
      <c r="D100" s="314">
        <v>321368</v>
      </c>
      <c r="E100" s="404">
        <f>IF(ISBLANK(D100),"-",$D$110/$D$107*D100)</f>
        <v>335022.27854159311</v>
      </c>
      <c r="F100" s="405">
        <v>307732</v>
      </c>
      <c r="G100" s="316">
        <f>IF(ISBLANK(F100),"-",$D$110/$F$107*F100)</f>
        <v>331045.4308680016</v>
      </c>
    </row>
    <row r="101" spans="1:7" ht="26.25" customHeight="1" x14ac:dyDescent="0.4">
      <c r="A101" s="307" t="s">
        <v>59</v>
      </c>
      <c r="B101" s="403">
        <v>5</v>
      </c>
      <c r="C101" s="317">
        <v>2</v>
      </c>
      <c r="D101" s="318">
        <v>311810</v>
      </c>
      <c r="E101" s="406">
        <f>IF(ISBLANK(D101),"-",$D$110/$D$107*D101)</f>
        <v>325058.1783875624</v>
      </c>
      <c r="F101" s="296">
        <v>312463</v>
      </c>
      <c r="G101" s="320">
        <f>IF(ISBLANK(F101),"-",$D$110/$F$107*F101)</f>
        <v>336134.84611710318</v>
      </c>
    </row>
    <row r="102" spans="1:7" ht="26.25" customHeight="1" x14ac:dyDescent="0.4">
      <c r="A102" s="307" t="s">
        <v>60</v>
      </c>
      <c r="B102" s="403">
        <v>50</v>
      </c>
      <c r="C102" s="317">
        <v>3</v>
      </c>
      <c r="D102" s="318">
        <v>321368</v>
      </c>
      <c r="E102" s="406">
        <f>IF(ISBLANK(D102),"-",$D$110/$D$107*D102)</f>
        <v>335022.27854159311</v>
      </c>
      <c r="F102" s="407">
        <v>307732</v>
      </c>
      <c r="G102" s="320">
        <f>IF(ISBLANK(F102),"-",$D$110/$F$107*F102)</f>
        <v>331045.4308680016</v>
      </c>
    </row>
    <row r="103" spans="1:7" ht="26.25" customHeight="1" x14ac:dyDescent="0.4">
      <c r="A103" s="307" t="s">
        <v>61</v>
      </c>
      <c r="B103" s="403">
        <v>1</v>
      </c>
      <c r="C103" s="321">
        <v>4</v>
      </c>
      <c r="D103" s="322"/>
      <c r="E103" s="408" t="str">
        <f>IF(ISBLANK(D103),"-",$D$110/$D$107*D103)</f>
        <v>-</v>
      </c>
      <c r="F103" s="409"/>
      <c r="G103" s="324" t="str">
        <f>IF(ISBLANK(F103),"-",$D$110/$F$107*F103)</f>
        <v>-</v>
      </c>
    </row>
    <row r="104" spans="1:7" ht="27" customHeight="1" x14ac:dyDescent="0.4">
      <c r="A104" s="307" t="s">
        <v>62</v>
      </c>
      <c r="B104" s="403">
        <v>1</v>
      </c>
      <c r="C104" s="325" t="s">
        <v>63</v>
      </c>
      <c r="D104" s="410">
        <f>AVERAGE(D100:D103)</f>
        <v>318182</v>
      </c>
      <c r="E104" s="327">
        <f>AVERAGE(E100:E103)</f>
        <v>331700.91182358289</v>
      </c>
      <c r="F104" s="410">
        <f>AVERAGE(F100:F103)</f>
        <v>309309</v>
      </c>
      <c r="G104" s="411">
        <f>AVERAGE(G100:G103)</f>
        <v>332741.90261770209</v>
      </c>
    </row>
    <row r="105" spans="1:7" ht="26.25" customHeight="1" x14ac:dyDescent="0.4">
      <c r="A105" s="307" t="s">
        <v>64</v>
      </c>
      <c r="B105" s="403">
        <v>1</v>
      </c>
      <c r="C105" s="329" t="s">
        <v>65</v>
      </c>
      <c r="D105" s="412">
        <v>10.67</v>
      </c>
      <c r="E105" s="331"/>
      <c r="F105" s="330">
        <v>10.34</v>
      </c>
      <c r="G105" s="284"/>
    </row>
    <row r="106" spans="1:7" ht="26.25" customHeight="1" x14ac:dyDescent="0.4">
      <c r="A106" s="307" t="s">
        <v>66</v>
      </c>
      <c r="B106" s="403">
        <v>1</v>
      </c>
      <c r="C106" s="332" t="s">
        <v>67</v>
      </c>
      <c r="D106" s="413">
        <f>D105*$B$96</f>
        <v>10.67</v>
      </c>
      <c r="E106" s="334"/>
      <c r="F106" s="333">
        <f>F105*$B$96</f>
        <v>10.34</v>
      </c>
      <c r="G106" s="284"/>
    </row>
    <row r="107" spans="1:7" ht="19.5" customHeight="1" x14ac:dyDescent="0.3">
      <c r="A107" s="307" t="s">
        <v>68</v>
      </c>
      <c r="B107" s="445">
        <f>(B106/B105)*(B104/B103)*(B102/B101)*(B100/B99)*B98</f>
        <v>5000</v>
      </c>
      <c r="C107" s="332" t="s">
        <v>69</v>
      </c>
      <c r="D107" s="414">
        <f>D106*$B$91/100</f>
        <v>10.658263</v>
      </c>
      <c r="E107" s="337"/>
      <c r="F107" s="336">
        <f>F106*$B$91/100</f>
        <v>10.328626</v>
      </c>
      <c r="G107" s="284"/>
    </row>
    <row r="108" spans="1:7" ht="19.5" customHeight="1" x14ac:dyDescent="0.3">
      <c r="A108" s="497" t="s">
        <v>70</v>
      </c>
      <c r="B108" s="498"/>
      <c r="C108" s="332" t="s">
        <v>71</v>
      </c>
      <c r="D108" s="413">
        <f>D107/$B$107</f>
        <v>2.1316526000000001E-3</v>
      </c>
      <c r="E108" s="337"/>
      <c r="F108" s="338">
        <f>F107/$B$107</f>
        <v>2.0657252000000001E-3</v>
      </c>
      <c r="G108" s="415"/>
    </row>
    <row r="109" spans="1:7" ht="19.5" customHeight="1" x14ac:dyDescent="0.3">
      <c r="A109" s="499"/>
      <c r="B109" s="500"/>
      <c r="C109" s="462" t="s">
        <v>72</v>
      </c>
      <c r="D109" s="417">
        <f>$B$56/$B$125</f>
        <v>2.2222222222222222E-3</v>
      </c>
      <c r="E109" s="284"/>
      <c r="F109" s="341"/>
      <c r="G109" s="418"/>
    </row>
    <row r="110" spans="1:7" ht="18.75" customHeight="1" x14ac:dyDescent="0.3">
      <c r="A110" s="284"/>
      <c r="B110" s="284"/>
      <c r="C110" s="416" t="s">
        <v>73</v>
      </c>
      <c r="D110" s="413">
        <f>D109*$B$107</f>
        <v>11.111111111111111</v>
      </c>
      <c r="E110" s="284"/>
      <c r="F110" s="341"/>
      <c r="G110" s="415"/>
    </row>
    <row r="111" spans="1:7" ht="19.5" customHeight="1" x14ac:dyDescent="0.3">
      <c r="A111" s="284"/>
      <c r="B111" s="284"/>
      <c r="C111" s="419" t="s">
        <v>74</v>
      </c>
      <c r="D111" s="420">
        <f>D110/B96</f>
        <v>11.111111111111111</v>
      </c>
      <c r="E111" s="284"/>
      <c r="F111" s="346"/>
      <c r="G111" s="415"/>
    </row>
    <row r="112" spans="1:7" ht="18.75" customHeight="1" x14ac:dyDescent="0.3">
      <c r="A112" s="284"/>
      <c r="B112" s="284"/>
      <c r="C112" s="421" t="s">
        <v>75</v>
      </c>
      <c r="D112" s="422">
        <f>AVERAGE(E100:E103,G100:G103)</f>
        <v>332221.40722064249</v>
      </c>
      <c r="E112" s="284"/>
      <c r="F112" s="346"/>
      <c r="G112" s="423"/>
    </row>
    <row r="113" spans="1:7" ht="18.75" customHeight="1" x14ac:dyDescent="0.3">
      <c r="A113" s="284"/>
      <c r="B113" s="284"/>
      <c r="C113" s="424" t="s">
        <v>76</v>
      </c>
      <c r="D113" s="425">
        <f>STDEV(E100:E103,G100:G103)/D112</f>
        <v>1.2416734188088025E-2</v>
      </c>
      <c r="E113" s="284"/>
      <c r="F113" s="346"/>
      <c r="G113" s="415"/>
    </row>
    <row r="114" spans="1:7" ht="19.5" customHeight="1" x14ac:dyDescent="0.3">
      <c r="A114" s="284"/>
      <c r="B114" s="284"/>
      <c r="C114" s="426" t="s">
        <v>20</v>
      </c>
      <c r="D114" s="427">
        <f>COUNT(E100:E103,G100:G103)</f>
        <v>6</v>
      </c>
      <c r="E114" s="284"/>
      <c r="F114" s="346"/>
      <c r="G114" s="415"/>
    </row>
    <row r="115" spans="1:7" ht="19.5" customHeight="1" x14ac:dyDescent="0.3">
      <c r="A115" s="285"/>
      <c r="B115" s="285"/>
      <c r="C115" s="285"/>
      <c r="D115" s="285"/>
      <c r="E115" s="285"/>
      <c r="F115" s="284"/>
      <c r="G115" s="284"/>
    </row>
    <row r="116" spans="1:7" ht="26.25" customHeight="1" x14ac:dyDescent="0.4">
      <c r="A116" s="305" t="s">
        <v>101</v>
      </c>
      <c r="B116" s="400">
        <v>900</v>
      </c>
      <c r="C116" s="428" t="s">
        <v>102</v>
      </c>
      <c r="D116" s="429" t="s">
        <v>56</v>
      </c>
      <c r="E116" s="430" t="s">
        <v>103</v>
      </c>
      <c r="F116" s="431" t="s">
        <v>104</v>
      </c>
      <c r="G116" s="284"/>
    </row>
    <row r="117" spans="1:7" ht="26.25" customHeight="1" x14ac:dyDescent="0.4">
      <c r="A117" s="307" t="s">
        <v>105</v>
      </c>
      <c r="B117" s="403">
        <v>1</v>
      </c>
      <c r="C117" s="365">
        <v>1</v>
      </c>
      <c r="D117" s="432">
        <v>296157</v>
      </c>
      <c r="E117" s="433">
        <f t="shared" ref="E117:E122" si="3">IF(ISBLANK(D117),"-",D117/$D$112*$D$109*$B$125)</f>
        <v>1.7828893235847951</v>
      </c>
      <c r="F117" s="434">
        <f t="shared" ref="F117:F122" si="4">IF(ISBLANK(D117), "-", E117/$B$56)</f>
        <v>0.89144466179239756</v>
      </c>
      <c r="G117" s="284"/>
    </row>
    <row r="118" spans="1:7" ht="26.25" customHeight="1" x14ac:dyDescent="0.4">
      <c r="A118" s="307" t="s">
        <v>106</v>
      </c>
      <c r="B118" s="403">
        <v>1</v>
      </c>
      <c r="C118" s="365">
        <v>2</v>
      </c>
      <c r="D118" s="432">
        <v>292779</v>
      </c>
      <c r="E118" s="435">
        <f t="shared" si="3"/>
        <v>1.7625534877441111</v>
      </c>
      <c r="F118" s="436">
        <f t="shared" si="4"/>
        <v>0.88127674387205557</v>
      </c>
      <c r="G118" s="284"/>
    </row>
    <row r="119" spans="1:7" ht="26.25" customHeight="1" x14ac:dyDescent="0.4">
      <c r="A119" s="307" t="s">
        <v>107</v>
      </c>
      <c r="B119" s="403">
        <v>1</v>
      </c>
      <c r="C119" s="365">
        <v>3</v>
      </c>
      <c r="D119" s="432">
        <v>294770</v>
      </c>
      <c r="E119" s="435">
        <f t="shared" si="3"/>
        <v>1.7745394703251653</v>
      </c>
      <c r="F119" s="436">
        <f t="shared" si="4"/>
        <v>0.88726973516258267</v>
      </c>
      <c r="G119" s="284"/>
    </row>
    <row r="120" spans="1:7" ht="26.25" customHeight="1" x14ac:dyDescent="0.4">
      <c r="A120" s="307" t="s">
        <v>108</v>
      </c>
      <c r="B120" s="403">
        <v>1</v>
      </c>
      <c r="C120" s="365">
        <v>4</v>
      </c>
      <c r="D120" s="432">
        <v>298230</v>
      </c>
      <c r="E120" s="435">
        <f t="shared" si="3"/>
        <v>1.7953689528618044</v>
      </c>
      <c r="F120" s="436">
        <f t="shared" si="4"/>
        <v>0.89768447643090221</v>
      </c>
      <c r="G120" s="284"/>
    </row>
    <row r="121" spans="1:7" ht="26.25" customHeight="1" x14ac:dyDescent="0.4">
      <c r="A121" s="307" t="s">
        <v>109</v>
      </c>
      <c r="B121" s="403">
        <v>1</v>
      </c>
      <c r="C121" s="365">
        <v>5</v>
      </c>
      <c r="D121" s="432">
        <v>293512</v>
      </c>
      <c r="E121" s="435">
        <f t="shared" si="3"/>
        <v>1.7669662075994164</v>
      </c>
      <c r="F121" s="436">
        <f t="shared" si="4"/>
        <v>0.88348310379970818</v>
      </c>
      <c r="G121" s="284"/>
    </row>
    <row r="122" spans="1:7" ht="26.25" customHeight="1" x14ac:dyDescent="0.4">
      <c r="A122" s="307" t="s">
        <v>110</v>
      </c>
      <c r="B122" s="403">
        <v>1</v>
      </c>
      <c r="C122" s="437">
        <v>6</v>
      </c>
      <c r="D122" s="438">
        <v>297702</v>
      </c>
      <c r="E122" s="439">
        <f t="shared" si="3"/>
        <v>1.7921903497463865</v>
      </c>
      <c r="F122" s="440">
        <f t="shared" si="4"/>
        <v>0.89609517487319323</v>
      </c>
      <c r="G122" s="284"/>
    </row>
    <row r="123" spans="1:7" ht="26.25" customHeight="1" x14ac:dyDescent="0.4">
      <c r="A123" s="307" t="s">
        <v>111</v>
      </c>
      <c r="B123" s="403">
        <v>1</v>
      </c>
      <c r="C123" s="365"/>
      <c r="D123" s="441"/>
      <c r="E123" s="385"/>
      <c r="F123" s="368"/>
      <c r="G123" s="284"/>
    </row>
    <row r="124" spans="1:7" ht="26.25" customHeight="1" x14ac:dyDescent="0.4">
      <c r="A124" s="307" t="s">
        <v>112</v>
      </c>
      <c r="B124" s="403">
        <v>1</v>
      </c>
      <c r="C124" s="365"/>
      <c r="D124" s="442"/>
      <c r="E124" s="443" t="s">
        <v>63</v>
      </c>
      <c r="F124" s="444">
        <f>AVERAGE(F117:F122)</f>
        <v>0.88954231598847322</v>
      </c>
      <c r="G124" s="284"/>
    </row>
    <row r="125" spans="1:7" ht="27" customHeight="1" x14ac:dyDescent="0.4">
      <c r="A125" s="307" t="s">
        <v>113</v>
      </c>
      <c r="B125" s="445">
        <f>(B124/B123)*(B122/B121)*(B120/B119)*(B118/B117)*B116</f>
        <v>900</v>
      </c>
      <c r="C125" s="446"/>
      <c r="D125" s="447"/>
      <c r="E125" s="343" t="s">
        <v>76</v>
      </c>
      <c r="F125" s="380">
        <f>STDEV(F117:F122)/F124</f>
        <v>7.5084701739183161E-3</v>
      </c>
      <c r="G125" s="284"/>
    </row>
    <row r="126" spans="1:7" ht="27" customHeight="1" x14ac:dyDescent="0.4">
      <c r="A126" s="497" t="s">
        <v>70</v>
      </c>
      <c r="B126" s="498"/>
      <c r="C126" s="448"/>
      <c r="D126" s="449"/>
      <c r="E126" s="450" t="s">
        <v>20</v>
      </c>
      <c r="F126" s="451">
        <f>COUNT(F117:F122)</f>
        <v>6</v>
      </c>
      <c r="G126" s="284"/>
    </row>
    <row r="127" spans="1:7" ht="19.5" customHeight="1" x14ac:dyDescent="0.3">
      <c r="A127" s="499"/>
      <c r="B127" s="500"/>
      <c r="C127" s="385"/>
      <c r="D127" s="385"/>
      <c r="E127" s="385"/>
      <c r="F127" s="441"/>
      <c r="G127" s="385"/>
    </row>
    <row r="128" spans="1:7" ht="18.75" customHeight="1" x14ac:dyDescent="0.3">
      <c r="A128" s="303"/>
      <c r="B128" s="303"/>
      <c r="C128" s="385"/>
      <c r="D128" s="385"/>
      <c r="E128" s="385"/>
      <c r="F128" s="441"/>
      <c r="G128" s="385"/>
    </row>
    <row r="129" spans="1:7" ht="18.75" customHeight="1" x14ac:dyDescent="0.3">
      <c r="A129" s="294" t="s">
        <v>86</v>
      </c>
      <c r="B129" s="387" t="s">
        <v>114</v>
      </c>
      <c r="C129" s="509" t="str">
        <f>B20</f>
        <v>Loperamide hydrochloride</v>
      </c>
      <c r="D129" s="509"/>
      <c r="E129" s="388" t="s">
        <v>115</v>
      </c>
      <c r="F129" s="388"/>
      <c r="G129" s="391">
        <f>F124</f>
        <v>0.88954231598847322</v>
      </c>
    </row>
    <row r="130" spans="1:7" ht="19.5" customHeight="1" x14ac:dyDescent="0.3">
      <c r="A130" s="452"/>
      <c r="B130" s="452"/>
      <c r="C130" s="453"/>
      <c r="D130" s="453"/>
      <c r="E130" s="453"/>
      <c r="F130" s="453"/>
      <c r="G130" s="453"/>
    </row>
    <row r="131" spans="1:7" ht="18.75" customHeight="1" x14ac:dyDescent="0.3">
      <c r="A131" s="284"/>
      <c r="B131" s="510" t="s">
        <v>26</v>
      </c>
      <c r="C131" s="510"/>
      <c r="D131" s="284"/>
      <c r="E131" s="454" t="s">
        <v>27</v>
      </c>
      <c r="F131" s="455"/>
      <c r="G131" s="461" t="s">
        <v>28</v>
      </c>
    </row>
    <row r="132" spans="1:7" ht="60" customHeight="1" x14ac:dyDescent="0.3">
      <c r="A132" s="456" t="s">
        <v>29</v>
      </c>
      <c r="B132" s="457"/>
      <c r="C132" s="457"/>
      <c r="D132" s="284"/>
      <c r="E132" s="457"/>
      <c r="F132" s="385"/>
      <c r="G132" s="458"/>
    </row>
    <row r="133" spans="1:7" ht="60" customHeight="1" x14ac:dyDescent="0.3">
      <c r="A133" s="456" t="s">
        <v>30</v>
      </c>
      <c r="B133" s="459"/>
      <c r="C133" s="459"/>
      <c r="D133" s="284"/>
      <c r="E133" s="459"/>
      <c r="F133" s="385"/>
      <c r="G133" s="460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loperamide 4</vt:lpstr>
      <vt:lpstr>loperamide 5</vt:lpstr>
      <vt:lpstr>Uniformity!Print_Area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2016-12-05T06:43:36Z</cp:lastPrinted>
  <dcterms:created xsi:type="dcterms:W3CDTF">2005-07-05T10:19:27Z</dcterms:created>
  <dcterms:modified xsi:type="dcterms:W3CDTF">2017-05-08T12:32:41Z</dcterms:modified>
</cp:coreProperties>
</file>