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 activeTab="2"/>
  </bookViews>
  <sheets>
    <sheet name="SST (2)" sheetId="4" r:id="rId1"/>
    <sheet name="Uniformity" sheetId="2" r:id="rId2"/>
    <sheet name="Metronidazol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4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D33" i="2"/>
  <c r="D29" i="2"/>
  <c r="D25" i="2"/>
  <c r="C19" i="2"/>
  <c r="I39" i="3" l="1"/>
  <c r="I92" i="3"/>
  <c r="F99" i="3"/>
  <c r="D101" i="3"/>
  <c r="G93" i="3" s="1"/>
  <c r="F44" i="3"/>
  <c r="F45" i="3" s="1"/>
  <c r="D45" i="3"/>
  <c r="E41" i="3" s="1"/>
  <c r="B69" i="3"/>
  <c r="G94" i="3"/>
  <c r="C50" i="2"/>
  <c r="D97" i="3"/>
  <c r="D98" i="3" s="1"/>
  <c r="D99" i="3" s="1"/>
  <c r="D37" i="2"/>
  <c r="D41" i="2"/>
  <c r="D26" i="2"/>
  <c r="D30" i="2"/>
  <c r="D34" i="2"/>
  <c r="D38" i="2"/>
  <c r="D42" i="2"/>
  <c r="B49" i="2"/>
  <c r="D50" i="2"/>
  <c r="D49" i="3"/>
  <c r="D27" i="2"/>
  <c r="D39" i="2"/>
  <c r="D31" i="2"/>
  <c r="D35" i="2"/>
  <c r="D43" i="2"/>
  <c r="C49" i="2"/>
  <c r="D24" i="2"/>
  <c r="D28" i="2"/>
  <c r="D32" i="2"/>
  <c r="D36" i="2"/>
  <c r="D40" i="2"/>
  <c r="D49" i="2"/>
  <c r="G91" i="3" l="1"/>
  <c r="G92" i="3"/>
  <c r="G95" i="3" s="1"/>
  <c r="D102" i="3"/>
  <c r="G41" i="3"/>
  <c r="G38" i="3"/>
  <c r="G40" i="3"/>
  <c r="F46" i="3"/>
  <c r="E40" i="3"/>
  <c r="E39" i="3"/>
  <c r="E38" i="3"/>
  <c r="D46" i="3"/>
  <c r="G39" i="3"/>
  <c r="E92" i="3"/>
  <c r="E94" i="3"/>
  <c r="E91" i="3"/>
  <c r="E93" i="3"/>
  <c r="E42" i="3" l="1"/>
  <c r="G42" i="3"/>
  <c r="D50" i="3"/>
  <c r="G70" i="3" s="1"/>
  <c r="H70" i="3" s="1"/>
  <c r="D52" i="3"/>
  <c r="D103" i="3"/>
  <c r="E95" i="3"/>
  <c r="D105" i="3"/>
  <c r="G60" i="3" l="1"/>
  <c r="H60" i="3" s="1"/>
  <c r="G62" i="3"/>
  <c r="H62" i="3" s="1"/>
  <c r="G61" i="3"/>
  <c r="H61" i="3" s="1"/>
  <c r="D51" i="3"/>
  <c r="G69" i="3"/>
  <c r="H69" i="3" s="1"/>
  <c r="G71" i="3"/>
  <c r="H71" i="3" s="1"/>
  <c r="G65" i="3"/>
  <c r="H65" i="3" s="1"/>
  <c r="G67" i="3"/>
  <c r="H67" i="3" s="1"/>
  <c r="G64" i="3"/>
  <c r="H64" i="3" s="1"/>
  <c r="G68" i="3"/>
  <c r="H68" i="3" s="1"/>
  <c r="G66" i="3"/>
  <c r="H66" i="3" s="1"/>
  <c r="G63" i="3"/>
  <c r="H63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3" l="1"/>
  <c r="G72" i="3"/>
  <c r="G73" i="3" s="1"/>
  <c r="F108" i="3"/>
  <c r="E120" i="3"/>
  <c r="E117" i="3"/>
  <c r="E115" i="3"/>
  <c r="E116" i="3" s="1"/>
  <c r="E119" i="3"/>
  <c r="H74" i="3"/>
  <c r="H72" i="3"/>
  <c r="G76" i="3" l="1"/>
  <c r="H73" i="3"/>
  <c r="F125" i="3"/>
  <c r="F120" i="3"/>
  <c r="F117" i="3"/>
  <c r="F115" i="3"/>
  <c r="D125" i="3"/>
  <c r="F119" i="3"/>
  <c r="G124" i="3" l="1"/>
  <c r="F116" i="3"/>
</calcChain>
</file>

<file path=xl/sharedStrings.xml><?xml version="1.0" encoding="utf-8"?>
<sst xmlns="http://schemas.openxmlformats.org/spreadsheetml/2006/main" count="239" uniqueCount="136">
  <si>
    <t>HPLC System Suitability Report</t>
  </si>
  <si>
    <t>Analysis Data</t>
  </si>
  <si>
    <t>Assay</t>
  </si>
  <si>
    <t>Sample(s)</t>
  </si>
  <si>
    <t>Reference Substance:</t>
  </si>
  <si>
    <t>METROZOL 250 TABLETS</t>
  </si>
  <si>
    <t>% age Purity:</t>
  </si>
  <si>
    <t>NDQD201612294</t>
  </si>
  <si>
    <t>Weight (mg):</t>
  </si>
  <si>
    <t>Metronidazole BP 250 mg</t>
  </si>
  <si>
    <t>Standard Conc (mg/mL):</t>
  </si>
  <si>
    <t>metronidazole BP 250 MG</t>
  </si>
  <si>
    <t>2016-12-15 09:40:36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</si>
  <si>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</si>
  <si>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</si>
  <si>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</si>
  <si>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</si>
  <si>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</si>
  <si>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</si>
  <si>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</si>
  <si>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</si>
  <si>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</si>
  <si>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</si>
  <si>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</si>
  <si>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</si>
  <si>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</si>
  <si>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</si>
  <si>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</si>
  <si>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</si>
  <si>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</si>
  <si>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</si>
  <si>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</si>
  <si>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</si>
  <si>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</si>
  <si>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</si>
  <si>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</si>
  <si>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</si>
  <si>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</si>
  <si>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</si>
  <si>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</si>
  <si>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</si>
  <si>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</si>
  <si>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</si>
  <si>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</si>
  <si>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</si>
  <si>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</si>
  <si>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</si>
  <si>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</si>
  <si>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</si>
  <si>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</si>
  <si>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</si>
  <si>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</si>
  <si>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</si>
  <si>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</si>
  <si>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</si>
  <si>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</si>
  <si>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</si>
  <si>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</si>
  <si>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</si>
  <si>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</si>
  <si>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</si>
  <si>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</si>
  <si>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</si>
  <si>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</si>
  <si>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</si>
  <si>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</si>
  <si>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</si>
  <si>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</si>
  <si>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</si>
  <si>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</si>
  <si>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</si>
  <si>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</si>
  <si>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</si>
  <si>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</si>
  <si>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</si>
  <si>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</si>
  <si>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</si>
  <si>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</si>
  <si>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</si>
  <si>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</si>
  <si>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</si>
  <si>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</si>
  <si>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</si>
  <si>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</si>
  <si>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</si>
  <si>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</si>
  <si>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</si>
  <si>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</si>
  <si>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</si>
  <si>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</si>
  <si>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</si>
  <si>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</si>
  <si>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</si>
  <si>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</si>
  <si>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</si>
  <si>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</si>
  <si>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</si>
  <si>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</si>
  <si>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</si>
  <si>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</si>
  <si>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</si>
  <si>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</si>
  <si>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</si>
  <si>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</si>
  <si>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</si>
  <si>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</si>
  <si>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</si>
  <si>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</si>
  <si>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</si>
  <si>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</si>
  <si>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</si>
  <si>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</si>
  <si>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</si>
  <si>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</si>
  <si>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</si>
  <si>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</si>
  <si>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</si>
  <si>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</si>
  <si>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</si>
  <si>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</si>
  <si>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</si>
  <si>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</si>
  <si>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</si>
  <si>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</si>
  <si>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</si>
  <si>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</si>
  <si>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</si>
  <si>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</si>
  <si>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</si>
  <si>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</si>
  <si>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</si>
  <si>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Metronidazole</t>
  </si>
  <si>
    <t>M2-3</t>
  </si>
  <si>
    <t>Metronidazole 400 mg</t>
  </si>
  <si>
    <t>2017-05-10 07:00:15</t>
  </si>
  <si>
    <t>TRICOZOLE 250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</si>
</sst>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1" fontId="13" fillId="3" borderId="21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43" xfId="0" applyNumberFormat="1" applyFont="1" applyFill="1" applyBorder="1" applyAlignment="1" applyProtection="1">
      <alignment horizontal="center"/>
      <protection locked="0"/>
    </xf>
    <xf numFmtId="171" fontId="12" fillId="6" borderId="49" xfId="0" applyNumberFormat="1" applyFont="1" applyFill="1" applyBorder="1" applyAlignment="1">
      <alignment horizontal="center"/>
    </xf>
    <xf numFmtId="171" fontId="12" fillId="6" borderId="5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53" sqref="C53"/>
    </sheetView>
  </sheetViews>
  <sheetFormatPr defaultRowHeight="13.5" x14ac:dyDescent="0.25"/>
  <cols>
    <col min="1" max="1" width="27.5703125" style="235" customWidth="1"/>
    <col min="2" max="2" width="20.42578125" style="235" customWidth="1"/>
    <col min="3" max="3" width="31.85546875" style="235" customWidth="1"/>
    <col min="4" max="4" width="25.85546875" style="235" customWidth="1"/>
    <col min="5" max="5" width="25.7109375" style="235" customWidth="1"/>
    <col min="6" max="6" width="23.140625" style="235" customWidth="1"/>
    <col min="7" max="7" width="28.42578125" style="235" customWidth="1"/>
    <col min="8" max="8" width="21.5703125" style="235" customWidth="1"/>
    <col min="9" max="9" width="9.140625" style="235" customWidth="1"/>
    <col min="10" max="16384" width="9.140625" style="271"/>
  </cols>
  <sheetData>
    <row r="14" spans="1:6" ht="15" customHeight="1" x14ac:dyDescent="0.3">
      <c r="A14" s="234"/>
      <c r="C14" s="236"/>
      <c r="F14" s="236"/>
    </row>
    <row r="15" spans="1:6" ht="18.75" customHeight="1" x14ac:dyDescent="0.3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237" t="s">
        <v>1</v>
      </c>
      <c r="B16" s="238" t="s">
        <v>2</v>
      </c>
    </row>
    <row r="17" spans="1:5" ht="16.5" customHeight="1" x14ac:dyDescent="0.3">
      <c r="A17" s="239" t="s">
        <v>3</v>
      </c>
      <c r="B17" s="239" t="s">
        <v>135</v>
      </c>
      <c r="D17" s="240"/>
      <c r="E17" s="241"/>
    </row>
    <row r="18" spans="1:5" ht="16.5" customHeight="1" x14ac:dyDescent="0.3">
      <c r="A18" s="242" t="s">
        <v>4</v>
      </c>
      <c r="B18" s="235" t="s">
        <v>133</v>
      </c>
      <c r="C18" s="241"/>
      <c r="D18" s="241"/>
      <c r="E18" s="241"/>
    </row>
    <row r="19" spans="1:5" ht="16.5" customHeight="1" x14ac:dyDescent="0.3">
      <c r="A19" s="242" t="s">
        <v>6</v>
      </c>
      <c r="B19" s="243">
        <v>99.83</v>
      </c>
      <c r="C19" s="241"/>
      <c r="D19" s="241"/>
      <c r="E19" s="241"/>
    </row>
    <row r="20" spans="1:5" ht="16.5" customHeight="1" x14ac:dyDescent="0.3">
      <c r="A20" s="239" t="s">
        <v>8</v>
      </c>
      <c r="B20" s="243">
        <v>26.67</v>
      </c>
      <c r="C20" s="241"/>
      <c r="D20" s="241"/>
      <c r="E20" s="241"/>
    </row>
    <row r="21" spans="1:5" ht="16.5" customHeight="1" x14ac:dyDescent="0.3">
      <c r="A21" s="239" t="s">
        <v>10</v>
      </c>
      <c r="B21" s="244">
        <f>B20/50</f>
        <v>0.53339999999999999</v>
      </c>
      <c r="C21" s="241"/>
      <c r="D21" s="241"/>
      <c r="E21" s="241"/>
    </row>
    <row r="22" spans="1:5" ht="15.75" customHeight="1" x14ac:dyDescent="0.25">
      <c r="A22" s="241"/>
      <c r="B22" s="241" t="s">
        <v>134</v>
      </c>
      <c r="C22" s="241"/>
      <c r="D22" s="241"/>
      <c r="E22" s="241"/>
    </row>
    <row r="23" spans="1:5" ht="16.5" customHeight="1" x14ac:dyDescent="0.3">
      <c r="A23" s="245" t="s">
        <v>13</v>
      </c>
      <c r="B23" s="246" t="s">
        <v>14</v>
      </c>
      <c r="C23" s="245" t="s">
        <v>15</v>
      </c>
      <c r="D23" s="245" t="s">
        <v>16</v>
      </c>
      <c r="E23" s="245" t="s">
        <v>17</v>
      </c>
    </row>
    <row r="24" spans="1:5" ht="16.5" customHeight="1" x14ac:dyDescent="0.3">
      <c r="A24" s="247">
        <v>1</v>
      </c>
      <c r="B24" s="248">
        <v>32669410</v>
      </c>
      <c r="C24" s="248">
        <v>8836</v>
      </c>
      <c r="D24" s="249">
        <v>1.2</v>
      </c>
      <c r="E24" s="250">
        <v>5.0999999999999996</v>
      </c>
    </row>
    <row r="25" spans="1:5" ht="16.5" customHeight="1" x14ac:dyDescent="0.3">
      <c r="A25" s="247">
        <v>2</v>
      </c>
      <c r="B25" s="248">
        <v>32360467</v>
      </c>
      <c r="C25" s="248">
        <v>8865.5</v>
      </c>
      <c r="D25" s="249">
        <v>1.2</v>
      </c>
      <c r="E25" s="249">
        <v>5.0999999999999996</v>
      </c>
    </row>
    <row r="26" spans="1:5" ht="16.5" customHeight="1" x14ac:dyDescent="0.3">
      <c r="A26" s="247">
        <v>3</v>
      </c>
      <c r="B26" s="248">
        <v>32467575</v>
      </c>
      <c r="C26" s="248">
        <v>8887.1</v>
      </c>
      <c r="D26" s="249">
        <v>1.2</v>
      </c>
      <c r="E26" s="249">
        <v>5.0999999999999996</v>
      </c>
    </row>
    <row r="27" spans="1:5" ht="16.5" customHeight="1" x14ac:dyDescent="0.3">
      <c r="A27" s="247">
        <v>4</v>
      </c>
      <c r="B27" s="248">
        <v>32455238</v>
      </c>
      <c r="C27" s="248">
        <v>8861.4</v>
      </c>
      <c r="D27" s="249">
        <v>1.2</v>
      </c>
      <c r="E27" s="249">
        <v>5.0999999999999996</v>
      </c>
    </row>
    <row r="28" spans="1:5" ht="16.5" customHeight="1" x14ac:dyDescent="0.3">
      <c r="A28" s="247">
        <v>5</v>
      </c>
      <c r="B28" s="248">
        <v>32526088</v>
      </c>
      <c r="C28" s="248">
        <v>8864.2999999999993</v>
      </c>
      <c r="D28" s="249">
        <v>1.2</v>
      </c>
      <c r="E28" s="249">
        <v>5.0999999999999996</v>
      </c>
    </row>
    <row r="29" spans="1:5" ht="16.5" customHeight="1" x14ac:dyDescent="0.3">
      <c r="A29" s="247">
        <v>6</v>
      </c>
      <c r="B29" s="251">
        <v>32544376</v>
      </c>
      <c r="C29" s="251">
        <v>8863</v>
      </c>
      <c r="D29" s="252">
        <v>1.2</v>
      </c>
      <c r="E29" s="252">
        <v>5.0999999999999996</v>
      </c>
    </row>
    <row r="30" spans="1:5" ht="16.5" customHeight="1" x14ac:dyDescent="0.3">
      <c r="A30" s="253" t="s">
        <v>18</v>
      </c>
      <c r="B30" s="254">
        <f>AVERAGE(B24:B29)</f>
        <v>32503859</v>
      </c>
      <c r="C30" s="255">
        <f>AVERAGE(C24:C29)</f>
        <v>8862.8833333333332</v>
      </c>
      <c r="D30" s="256">
        <f>AVERAGE(D24:D29)</f>
        <v>1.2</v>
      </c>
      <c r="E30" s="256">
        <f>AVERAGE(E24:E29)</f>
        <v>5.1000000000000005</v>
      </c>
    </row>
    <row r="31" spans="1:5" ht="16.5" customHeight="1" x14ac:dyDescent="0.3">
      <c r="A31" s="257" t="s">
        <v>19</v>
      </c>
      <c r="B31" s="258">
        <f>(STDEV(B24:B29)/B30)</f>
        <v>3.1908720388443015E-3</v>
      </c>
      <c r="C31" s="259"/>
      <c r="D31" s="259"/>
      <c r="E31" s="260"/>
    </row>
    <row r="32" spans="1:5" s="235" customFormat="1" ht="16.5" customHeight="1" x14ac:dyDescent="0.3">
      <c r="A32" s="261" t="s">
        <v>20</v>
      </c>
      <c r="B32" s="262">
        <f>COUNT(B24:B29)</f>
        <v>6</v>
      </c>
      <c r="C32" s="263"/>
      <c r="D32" s="264"/>
      <c r="E32" s="265"/>
    </row>
    <row r="33" spans="1:5" s="235" customFormat="1" ht="15.75" customHeight="1" x14ac:dyDescent="0.25">
      <c r="A33" s="241"/>
      <c r="B33" s="241"/>
      <c r="C33" s="241"/>
      <c r="D33" s="241"/>
      <c r="E33" s="241"/>
    </row>
    <row r="34" spans="1:5" s="235" customFormat="1" ht="16.5" customHeight="1" x14ac:dyDescent="0.3">
      <c r="A34" s="242" t="s">
        <v>21</v>
      </c>
      <c r="B34" s="266" t="s">
        <v>22</v>
      </c>
      <c r="C34" s="267"/>
      <c r="D34" s="267"/>
      <c r="E34" s="267"/>
    </row>
    <row r="35" spans="1:5" ht="16.5" customHeight="1" x14ac:dyDescent="0.3">
      <c r="A35" s="242"/>
      <c r="B35" s="266" t="s">
        <v>23</v>
      </c>
      <c r="C35" s="267"/>
      <c r="D35" s="267"/>
      <c r="E35" s="267"/>
    </row>
    <row r="36" spans="1:5" ht="16.5" customHeight="1" x14ac:dyDescent="0.3">
      <c r="A36" s="242"/>
      <c r="B36" s="266" t="s">
        <v>24</v>
      </c>
      <c r="C36" s="267"/>
      <c r="D36" s="267"/>
      <c r="E36" s="267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237" t="s">
        <v>1</v>
      </c>
      <c r="B38" s="238" t="s">
        <v>25</v>
      </c>
    </row>
    <row r="39" spans="1:5" ht="16.5" customHeight="1" x14ac:dyDescent="0.3">
      <c r="A39" s="242" t="s">
        <v>4</v>
      </c>
      <c r="B39" s="239"/>
      <c r="C39" s="241"/>
      <c r="D39" s="241"/>
      <c r="E39" s="241"/>
    </row>
    <row r="40" spans="1:5" ht="16.5" customHeight="1" x14ac:dyDescent="0.3">
      <c r="A40" s="242" t="s">
        <v>6</v>
      </c>
      <c r="B40" s="243"/>
      <c r="C40" s="241"/>
      <c r="D40" s="241"/>
      <c r="E40" s="241"/>
    </row>
    <row r="41" spans="1:5" ht="16.5" customHeight="1" x14ac:dyDescent="0.3">
      <c r="A41" s="239" t="s">
        <v>8</v>
      </c>
      <c r="B41" s="243"/>
      <c r="C41" s="241"/>
      <c r="D41" s="241"/>
      <c r="E41" s="241"/>
    </row>
    <row r="42" spans="1:5" ht="16.5" customHeight="1" x14ac:dyDescent="0.3">
      <c r="A42" s="239" t="s">
        <v>10</v>
      </c>
      <c r="B42" s="244"/>
      <c r="C42" s="241"/>
      <c r="D42" s="241"/>
      <c r="E42" s="241"/>
    </row>
    <row r="43" spans="1:5" ht="15.75" customHeight="1" x14ac:dyDescent="0.25">
      <c r="A43" s="241"/>
      <c r="B43" s="241"/>
      <c r="C43" s="241"/>
      <c r="D43" s="241"/>
      <c r="E43" s="241"/>
    </row>
    <row r="44" spans="1:5" ht="16.5" customHeight="1" x14ac:dyDescent="0.3">
      <c r="A44" s="245" t="s">
        <v>13</v>
      </c>
      <c r="B44" s="246" t="s">
        <v>14</v>
      </c>
      <c r="C44" s="245" t="s">
        <v>15</v>
      </c>
      <c r="D44" s="245" t="s">
        <v>16</v>
      </c>
      <c r="E44" s="245" t="s">
        <v>17</v>
      </c>
    </row>
    <row r="45" spans="1:5" ht="16.5" customHeight="1" x14ac:dyDescent="0.3">
      <c r="A45" s="247">
        <v>1</v>
      </c>
      <c r="B45" s="248"/>
      <c r="C45" s="248"/>
      <c r="D45" s="249"/>
      <c r="E45" s="250"/>
    </row>
    <row r="46" spans="1:5" ht="16.5" customHeight="1" x14ac:dyDescent="0.3">
      <c r="A46" s="247">
        <v>2</v>
      </c>
      <c r="B46" s="248"/>
      <c r="C46" s="248"/>
      <c r="D46" s="249"/>
      <c r="E46" s="249"/>
    </row>
    <row r="47" spans="1:5" ht="16.5" customHeight="1" x14ac:dyDescent="0.3">
      <c r="A47" s="247">
        <v>3</v>
      </c>
      <c r="B47" s="248"/>
      <c r="C47" s="248"/>
      <c r="D47" s="249"/>
      <c r="E47" s="249"/>
    </row>
    <row r="48" spans="1:5" ht="16.5" customHeight="1" x14ac:dyDescent="0.3">
      <c r="A48" s="247">
        <v>4</v>
      </c>
      <c r="B48" s="248"/>
      <c r="C48" s="248"/>
      <c r="D48" s="249"/>
      <c r="E48" s="249"/>
    </row>
    <row r="49" spans="1:7" ht="16.5" customHeight="1" x14ac:dyDescent="0.3">
      <c r="A49" s="247">
        <v>5</v>
      </c>
      <c r="B49" s="248"/>
      <c r="C49" s="248"/>
      <c r="D49" s="249"/>
      <c r="E49" s="249"/>
    </row>
    <row r="50" spans="1:7" ht="16.5" customHeight="1" x14ac:dyDescent="0.3">
      <c r="A50" s="247">
        <v>6</v>
      </c>
      <c r="B50" s="251"/>
      <c r="C50" s="251"/>
      <c r="D50" s="252"/>
      <c r="E50" s="252"/>
    </row>
    <row r="51" spans="1:7" ht="16.5" customHeight="1" x14ac:dyDescent="0.3">
      <c r="A51" s="253" t="s">
        <v>18</v>
      </c>
      <c r="B51" s="254" t="e">
        <f>AVERAGE(B45:B50)</f>
        <v>#DIV/0!</v>
      </c>
      <c r="C51" s="255" t="e">
        <f>AVERAGE(C45:C50)</f>
        <v>#DIV/0!</v>
      </c>
      <c r="D51" s="256" t="e">
        <f>AVERAGE(D45:D50)</f>
        <v>#DIV/0!</v>
      </c>
      <c r="E51" s="256" t="e">
        <f>AVERAGE(E45:E50)</f>
        <v>#DIV/0!</v>
      </c>
    </row>
    <row r="52" spans="1:7" ht="16.5" customHeight="1" x14ac:dyDescent="0.3">
      <c r="A52" s="257" t="s">
        <v>19</v>
      </c>
      <c r="B52" s="258" t="e">
        <f>(STDEV(B45:B50)/B51)</f>
        <v>#DIV/0!</v>
      </c>
      <c r="C52" s="259"/>
      <c r="D52" s="259"/>
      <c r="E52" s="260"/>
    </row>
    <row r="53" spans="1:7" s="235" customFormat="1" ht="16.5" customHeight="1" x14ac:dyDescent="0.3">
      <c r="A53" s="261" t="s">
        <v>20</v>
      </c>
      <c r="B53" s="262">
        <f>COUNT(B45:B50)</f>
        <v>0</v>
      </c>
      <c r="C53" s="263"/>
      <c r="D53" s="264"/>
      <c r="E53" s="265"/>
    </row>
    <row r="54" spans="1:7" s="235" customFormat="1" ht="15.75" customHeight="1" x14ac:dyDescent="0.25">
      <c r="A54" s="241"/>
      <c r="B54" s="241"/>
      <c r="C54" s="241"/>
      <c r="D54" s="241"/>
      <c r="E54" s="241"/>
    </row>
    <row r="55" spans="1:7" s="235" customFormat="1" ht="16.5" customHeight="1" x14ac:dyDescent="0.3">
      <c r="A55" s="242" t="s">
        <v>21</v>
      </c>
      <c r="B55" s="266" t="s">
        <v>22</v>
      </c>
      <c r="C55" s="267"/>
      <c r="D55" s="267"/>
      <c r="E55" s="267"/>
    </row>
    <row r="56" spans="1:7" ht="16.5" customHeight="1" x14ac:dyDescent="0.3">
      <c r="A56" s="242"/>
      <c r="B56" s="266" t="s">
        <v>23</v>
      </c>
      <c r="C56" s="267"/>
      <c r="D56" s="267"/>
      <c r="E56" s="267"/>
    </row>
    <row r="57" spans="1:7" ht="16.5" customHeight="1" x14ac:dyDescent="0.3">
      <c r="A57" s="242"/>
      <c r="B57" s="266" t="s">
        <v>24</v>
      </c>
      <c r="C57" s="267"/>
      <c r="D57" s="267"/>
      <c r="E57" s="267"/>
    </row>
    <row r="58" spans="1:7" ht="14.25" customHeight="1" thickBot="1" x14ac:dyDescent="0.3">
      <c r="A58" s="268"/>
      <c r="B58" s="269"/>
      <c r="D58" s="270"/>
      <c r="F58" s="271"/>
      <c r="G58" s="271"/>
    </row>
    <row r="59" spans="1:7" ht="15" customHeight="1" x14ac:dyDescent="0.3">
      <c r="B59" s="279" t="s">
        <v>26</v>
      </c>
      <c r="C59" s="279"/>
      <c r="E59" s="272" t="s">
        <v>27</v>
      </c>
      <c r="F59" s="273"/>
      <c r="G59" s="272" t="s">
        <v>28</v>
      </c>
    </row>
    <row r="60" spans="1:7" ht="15" customHeight="1" x14ac:dyDescent="0.3">
      <c r="A60" s="274" t="s">
        <v>29</v>
      </c>
      <c r="B60" s="275"/>
      <c r="C60" s="275"/>
      <c r="E60" s="275"/>
      <c r="G60" s="275"/>
    </row>
    <row r="61" spans="1:7" ht="15" customHeight="1" x14ac:dyDescent="0.3">
      <c r="A61" s="274" t="s">
        <v>30</v>
      </c>
      <c r="B61" s="276"/>
      <c r="C61" s="276"/>
      <c r="E61" s="276"/>
      <c r="G61" s="27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3" t="s">
        <v>31</v>
      </c>
      <c r="B11" s="284"/>
      <c r="C11" s="284"/>
      <c r="D11" s="284"/>
      <c r="E11" s="284"/>
      <c r="F11" s="285"/>
      <c r="G11" s="43"/>
    </row>
    <row r="12" spans="1:7" ht="16.5" customHeight="1" x14ac:dyDescent="0.3">
      <c r="A12" s="282" t="s">
        <v>32</v>
      </c>
      <c r="B12" s="282"/>
      <c r="C12" s="282"/>
      <c r="D12" s="282"/>
      <c r="E12" s="282"/>
      <c r="F12" s="282"/>
      <c r="G12" s="42"/>
    </row>
    <row r="14" spans="1:7" ht="16.5" customHeight="1" x14ac:dyDescent="0.3">
      <c r="A14" s="287" t="s">
        <v>33</v>
      </c>
      <c r="B14" s="287"/>
      <c r="C14" s="12" t="s">
        <v>5</v>
      </c>
    </row>
    <row r="15" spans="1:7" ht="16.5" customHeight="1" x14ac:dyDescent="0.3">
      <c r="A15" s="287" t="s">
        <v>34</v>
      </c>
      <c r="B15" s="287"/>
      <c r="C15" s="12" t="s">
        <v>7</v>
      </c>
    </row>
    <row r="16" spans="1:7" ht="16.5" customHeight="1" x14ac:dyDescent="0.3">
      <c r="A16" s="287" t="s">
        <v>35</v>
      </c>
      <c r="B16" s="287"/>
      <c r="C16" s="12" t="s">
        <v>9</v>
      </c>
    </row>
    <row r="17" spans="1:5" ht="16.5" customHeight="1" x14ac:dyDescent="0.3">
      <c r="A17" s="287" t="s">
        <v>36</v>
      </c>
      <c r="B17" s="287"/>
      <c r="C17" s="12" t="s">
        <v>11</v>
      </c>
    </row>
    <row r="18" spans="1:5" ht="16.5" customHeight="1" x14ac:dyDescent="0.3">
      <c r="A18" s="287" t="s">
        <v>37</v>
      </c>
      <c r="B18" s="287"/>
      <c r="C18" s="49" t="s">
        <v>12</v>
      </c>
    </row>
    <row r="19" spans="1:5" ht="16.5" customHeight="1" x14ac:dyDescent="0.3">
      <c r="A19" s="287" t="s">
        <v>38</v>
      </c>
      <c r="B19" s="28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2" t="s">
        <v>1</v>
      </c>
      <c r="B21" s="282"/>
      <c r="C21" s="11" t="s">
        <v>39</v>
      </c>
      <c r="D21" s="18"/>
    </row>
    <row r="22" spans="1:5" ht="15.75" customHeight="1" x14ac:dyDescent="0.3">
      <c r="A22" s="286"/>
      <c r="B22" s="286"/>
      <c r="C22" s="9"/>
      <c r="D22" s="286"/>
      <c r="E22" s="28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661.25</v>
      </c>
      <c r="D24" s="39">
        <f t="shared" ref="D24:D43" si="0">(C24-$C$46)/$C$46</f>
        <v>1.0814376264473459E-2</v>
      </c>
      <c r="E24" s="5"/>
    </row>
    <row r="25" spans="1:5" ht="15.75" customHeight="1" x14ac:dyDescent="0.3">
      <c r="C25" s="47">
        <v>645.85</v>
      </c>
      <c r="D25" s="40">
        <f t="shared" si="0"/>
        <v>-1.2726707129814432E-2</v>
      </c>
      <c r="E25" s="5"/>
    </row>
    <row r="26" spans="1:5" ht="15.75" customHeight="1" x14ac:dyDescent="0.3">
      <c r="C26" s="47">
        <v>650.91</v>
      </c>
      <c r="D26" s="40">
        <f t="shared" si="0"/>
        <v>-4.9917797288341961E-3</v>
      </c>
      <c r="E26" s="5"/>
    </row>
    <row r="27" spans="1:5" ht="15.75" customHeight="1" x14ac:dyDescent="0.3">
      <c r="C27" s="47">
        <v>656.31</v>
      </c>
      <c r="D27" s="40">
        <f t="shared" si="0"/>
        <v>3.2628858769550417E-3</v>
      </c>
      <c r="E27" s="5"/>
    </row>
    <row r="28" spans="1:5" ht="15.75" customHeight="1" x14ac:dyDescent="0.3">
      <c r="C28" s="47">
        <v>651.99</v>
      </c>
      <c r="D28" s="40">
        <f t="shared" si="0"/>
        <v>-3.3408466076762793E-3</v>
      </c>
      <c r="E28" s="5"/>
    </row>
    <row r="29" spans="1:5" ht="15.75" customHeight="1" x14ac:dyDescent="0.3">
      <c r="C29" s="47">
        <v>650.62</v>
      </c>
      <c r="D29" s="40">
        <f t="shared" si="0"/>
        <v>-5.4350858447006021E-3</v>
      </c>
      <c r="E29" s="5"/>
    </row>
    <row r="30" spans="1:5" ht="15.75" customHeight="1" x14ac:dyDescent="0.3">
      <c r="C30" s="47">
        <v>659.32</v>
      </c>
      <c r="D30" s="40">
        <f t="shared" si="0"/>
        <v>7.8640976312932959E-3</v>
      </c>
      <c r="E30" s="5"/>
    </row>
    <row r="31" spans="1:5" ht="15.75" customHeight="1" x14ac:dyDescent="0.3">
      <c r="C31" s="47">
        <v>658.07</v>
      </c>
      <c r="D31" s="40">
        <f t="shared" si="0"/>
        <v>5.9532954077309644E-3</v>
      </c>
      <c r="E31" s="5"/>
    </row>
    <row r="32" spans="1:5" ht="15.75" customHeight="1" x14ac:dyDescent="0.3">
      <c r="C32" s="47">
        <v>653.4</v>
      </c>
      <c r="D32" s="40">
        <f t="shared" si="0"/>
        <v>-1.1854616994980177E-3</v>
      </c>
      <c r="E32" s="5"/>
    </row>
    <row r="33" spans="1:7" ht="15.75" customHeight="1" x14ac:dyDescent="0.3">
      <c r="C33" s="47">
        <v>656.01</v>
      </c>
      <c r="D33" s="40">
        <f t="shared" si="0"/>
        <v>2.8042933433001516E-3</v>
      </c>
      <c r="E33" s="5"/>
    </row>
    <row r="34" spans="1:7" ht="15.75" customHeight="1" x14ac:dyDescent="0.3">
      <c r="C34" s="47">
        <v>645.21</v>
      </c>
      <c r="D34" s="40">
        <f t="shared" si="0"/>
        <v>-1.3705037868278324E-2</v>
      </c>
      <c r="E34" s="5"/>
    </row>
    <row r="35" spans="1:7" ht="15.75" customHeight="1" x14ac:dyDescent="0.3">
      <c r="C35" s="47">
        <v>652.71</v>
      </c>
      <c r="D35" s="40">
        <f t="shared" si="0"/>
        <v>-2.2402245269043343E-3</v>
      </c>
      <c r="E35" s="5"/>
    </row>
    <row r="36" spans="1:7" ht="15.75" customHeight="1" x14ac:dyDescent="0.3">
      <c r="C36" s="47">
        <v>653.54</v>
      </c>
      <c r="D36" s="40">
        <f t="shared" si="0"/>
        <v>-9.7145185045905747E-4</v>
      </c>
      <c r="E36" s="5"/>
    </row>
    <row r="37" spans="1:7" ht="15.75" customHeight="1" x14ac:dyDescent="0.3">
      <c r="C37" s="47">
        <v>660.44</v>
      </c>
      <c r="D37" s="40">
        <f t="shared" si="0"/>
        <v>9.5761764236051532E-3</v>
      </c>
      <c r="E37" s="5"/>
    </row>
    <row r="38" spans="1:7" ht="15.75" customHeight="1" x14ac:dyDescent="0.3">
      <c r="C38" s="47">
        <v>642.61</v>
      </c>
      <c r="D38" s="40">
        <f t="shared" si="0"/>
        <v>-1.7679506493288009E-2</v>
      </c>
      <c r="E38" s="5"/>
    </row>
    <row r="39" spans="1:7" ht="15.75" customHeight="1" x14ac:dyDescent="0.3">
      <c r="C39" s="47">
        <v>650.65</v>
      </c>
      <c r="D39" s="40">
        <f t="shared" si="0"/>
        <v>-5.3892265913351471E-3</v>
      </c>
      <c r="E39" s="5"/>
    </row>
    <row r="40" spans="1:7" ht="15.75" customHeight="1" x14ac:dyDescent="0.3">
      <c r="C40" s="47">
        <v>661.63</v>
      </c>
      <c r="D40" s="40">
        <f t="shared" si="0"/>
        <v>1.1395260140436401E-2</v>
      </c>
      <c r="E40" s="5"/>
    </row>
    <row r="41" spans="1:7" ht="15.75" customHeight="1" x14ac:dyDescent="0.3">
      <c r="C41" s="47">
        <v>655.38</v>
      </c>
      <c r="D41" s="40">
        <f t="shared" si="0"/>
        <v>1.8412490226247435E-3</v>
      </c>
      <c r="E41" s="5"/>
    </row>
    <row r="42" spans="1:7" ht="15.75" customHeight="1" x14ac:dyDescent="0.3">
      <c r="C42" s="47">
        <v>657.34</v>
      </c>
      <c r="D42" s="40">
        <f t="shared" si="0"/>
        <v>4.8373869091705348E-3</v>
      </c>
      <c r="E42" s="5"/>
    </row>
    <row r="43" spans="1:7" ht="16.5" customHeight="1" x14ac:dyDescent="0.3">
      <c r="C43" s="48">
        <v>660.27</v>
      </c>
      <c r="D43" s="41">
        <f t="shared" si="0"/>
        <v>9.3163073212005638E-3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13083.509999999998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654.17549999999994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0">
        <f>C46</f>
        <v>654.17549999999994</v>
      </c>
      <c r="C49" s="45">
        <f>-IF(C46&lt;=80,10%,IF(C46&lt;250,7.5%,5%))</f>
        <v>-0.05</v>
      </c>
      <c r="D49" s="33">
        <f>IF(C46&lt;=80,C46*0.9,IF(C46&lt;250,C46*0.925,C46*0.95))</f>
        <v>621.46672499999988</v>
      </c>
    </row>
    <row r="50" spans="1:6" ht="17.25" customHeight="1" x14ac:dyDescent="0.3">
      <c r="B50" s="281"/>
      <c r="C50" s="46">
        <f>IF(C46&lt;=80, 10%, IF(C46&lt;250, 7.5%, 5%))</f>
        <v>0.05</v>
      </c>
      <c r="D50" s="33">
        <f>IF(C46&lt;=80, C46*1.1, IF(C46&lt;250, C46*1.075, C46*1.05))</f>
        <v>686.884275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0" zoomScale="60" zoomScaleNormal="40" zoomScalePageLayoutView="44" workbookViewId="0">
      <selection activeCell="F60" sqref="F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8" t="s">
        <v>45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25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25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25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25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25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25">
      <c r="A8" s="319" t="s">
        <v>46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25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25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25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25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25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25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">
      <c r="A15" s="50"/>
    </row>
    <row r="16" spans="1:9" ht="19.5" customHeight="1" x14ac:dyDescent="0.3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52" t="s">
        <v>33</v>
      </c>
      <c r="B18" s="290" t="s">
        <v>5</v>
      </c>
      <c r="C18" s="290"/>
      <c r="D18" s="195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4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95" t="s">
        <v>9</v>
      </c>
      <c r="C20" s="29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95" t="s">
        <v>11</v>
      </c>
      <c r="C21" s="295"/>
      <c r="D21" s="295"/>
      <c r="E21" s="295"/>
      <c r="F21" s="295"/>
      <c r="G21" s="295"/>
      <c r="H21" s="295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90" t="s">
        <v>131</v>
      </c>
      <c r="C26" s="290"/>
    </row>
    <row r="27" spans="1:14" ht="26.25" customHeight="1" x14ac:dyDescent="0.4">
      <c r="A27" s="61" t="s">
        <v>48</v>
      </c>
      <c r="B27" s="296" t="s">
        <v>132</v>
      </c>
      <c r="C27" s="296"/>
    </row>
    <row r="28" spans="1:14" ht="27" customHeight="1" x14ac:dyDescent="0.4">
      <c r="A28" s="61" t="s">
        <v>6</v>
      </c>
      <c r="B28" s="62">
        <v>99.83</v>
      </c>
    </row>
    <row r="29" spans="1:14" s="3" customFormat="1" ht="27" customHeight="1" x14ac:dyDescent="0.4">
      <c r="A29" s="61" t="s">
        <v>49</v>
      </c>
      <c r="B29" s="63">
        <v>0</v>
      </c>
      <c r="C29" s="297" t="s">
        <v>50</v>
      </c>
      <c r="D29" s="298"/>
      <c r="E29" s="298"/>
      <c r="F29" s="298"/>
      <c r="G29" s="29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99.83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300" t="s">
        <v>53</v>
      </c>
      <c r="D31" s="301"/>
      <c r="E31" s="301"/>
      <c r="F31" s="301"/>
      <c r="G31" s="301"/>
      <c r="H31" s="30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300" t="s">
        <v>55</v>
      </c>
      <c r="D32" s="301"/>
      <c r="E32" s="301"/>
      <c r="F32" s="301"/>
      <c r="G32" s="301"/>
      <c r="H32" s="30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3" t="s">
        <v>59</v>
      </c>
      <c r="E36" s="304"/>
      <c r="F36" s="303" t="s">
        <v>60</v>
      </c>
      <c r="G36" s="30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32579178</v>
      </c>
      <c r="E38" s="85">
        <f>IF(ISBLANK(D38),"-",$D$48/$D$45*D38)</f>
        <v>30591166.963590633</v>
      </c>
      <c r="F38" s="84">
        <v>33824649</v>
      </c>
      <c r="G38" s="86">
        <f>IF(ISBLANK(F38),"-",$D$48/$F$45*F38)</f>
        <v>30480612.471211862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32849213</v>
      </c>
      <c r="E39" s="90">
        <f>IF(ISBLANK(D39),"-",$D$48/$D$45*D39)</f>
        <v>30844724.182591468</v>
      </c>
      <c r="F39" s="89">
        <v>34045899</v>
      </c>
      <c r="G39" s="91">
        <f>IF(ISBLANK(F39),"-",$D$48/$F$45*F39)</f>
        <v>30679988.834563203</v>
      </c>
      <c r="I39" s="307">
        <f>ABS((F43/D43*D42)-F42)/D42</f>
        <v>7.1733496757859054E-3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32979568</v>
      </c>
      <c r="E40" s="90">
        <f>IF(ISBLANK(D40),"-",$D$48/$D$45*D40)</f>
        <v>30967124.802077293</v>
      </c>
      <c r="F40" s="89">
        <v>33964114</v>
      </c>
      <c r="G40" s="91">
        <f>IF(ISBLANK(F40),"-",$D$48/$F$45*F40)</f>
        <v>30606289.418171387</v>
      </c>
      <c r="I40" s="307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32802653</v>
      </c>
      <c r="E42" s="100">
        <f>AVERAGE(E38:E41)</f>
        <v>30801005.316086467</v>
      </c>
      <c r="F42" s="99">
        <f>AVERAGE(F38:F41)</f>
        <v>33944887.333333336</v>
      </c>
      <c r="G42" s="101">
        <f>AVERAGE(G38:G41)</f>
        <v>30588963.574648816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26.67</v>
      </c>
      <c r="E43" s="92"/>
      <c r="F43" s="104">
        <v>27.79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26.67</v>
      </c>
      <c r="E44" s="107"/>
      <c r="F44" s="106">
        <f>F43*$B$34</f>
        <v>27.79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26.624661</v>
      </c>
      <c r="E45" s="110"/>
      <c r="F45" s="109">
        <f>F44*$B$30/100</f>
        <v>27.742756999999997</v>
      </c>
      <c r="H45" s="102"/>
    </row>
    <row r="46" spans="1:14" ht="19.5" customHeight="1" x14ac:dyDescent="0.3">
      <c r="A46" s="308" t="s">
        <v>78</v>
      </c>
      <c r="B46" s="309"/>
      <c r="C46" s="105" t="s">
        <v>79</v>
      </c>
      <c r="D46" s="111">
        <f>D45/$B$45</f>
        <v>0.53249321999999999</v>
      </c>
      <c r="E46" s="112"/>
      <c r="F46" s="113">
        <f>F45/$B$45</f>
        <v>0.55485513999999991</v>
      </c>
      <c r="H46" s="102"/>
    </row>
    <row r="47" spans="1:14" ht="27" customHeight="1" x14ac:dyDescent="0.4">
      <c r="A47" s="310"/>
      <c r="B47" s="311"/>
      <c r="C47" s="114" t="s">
        <v>80</v>
      </c>
      <c r="D47" s="115">
        <v>0.5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30694984.445367638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5.8516022110405201E-3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metronidazole BP 250 MG</v>
      </c>
    </row>
    <row r="56" spans="1:12" ht="26.25" customHeight="1" x14ac:dyDescent="0.4">
      <c r="A56" s="129" t="s">
        <v>87</v>
      </c>
      <c r="B56" s="130">
        <v>250</v>
      </c>
      <c r="C56" s="51" t="str">
        <f>B20</f>
        <v>Metronidazole BP 250 mg</v>
      </c>
      <c r="H56" s="131"/>
    </row>
    <row r="57" spans="1:12" ht="18.75" x14ac:dyDescent="0.3">
      <c r="A57" s="128" t="s">
        <v>88</v>
      </c>
      <c r="B57" s="196">
        <f>Uniformity!C46</f>
        <v>654.17549999999994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312" t="s">
        <v>94</v>
      </c>
      <c r="D60" s="315">
        <v>660.47</v>
      </c>
      <c r="E60" s="134">
        <v>1</v>
      </c>
      <c r="F60" s="135">
        <v>29973708</v>
      </c>
      <c r="G60" s="197">
        <f>IF(ISBLANK(F60),"-",(F60/$D$50*$D$47*$B$68)*($B$57/$D$60))</f>
        <v>241.7988563459767</v>
      </c>
      <c r="H60" s="215">
        <f t="shared" ref="H60:H71" si="0">IF(ISBLANK(F60),"-",(G60/$B$56)*100)</f>
        <v>96.719542538390684</v>
      </c>
      <c r="L60" s="64"/>
    </row>
    <row r="61" spans="1:12" s="3" customFormat="1" ht="26.25" customHeight="1" x14ac:dyDescent="0.4">
      <c r="A61" s="76" t="s">
        <v>95</v>
      </c>
      <c r="B61" s="77">
        <v>10</v>
      </c>
      <c r="C61" s="313"/>
      <c r="D61" s="316"/>
      <c r="E61" s="136">
        <v>2</v>
      </c>
      <c r="F61" s="89">
        <v>30411792</v>
      </c>
      <c r="G61" s="198">
        <f>IF(ISBLANK(F61),"-",(F61/$D$50*$D$47*$B$68)*($B$57/$D$60))</f>
        <v>245.33289391595204</v>
      </c>
      <c r="H61" s="216">
        <f t="shared" si="0"/>
        <v>98.133157566380817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3"/>
      <c r="D62" s="316"/>
      <c r="E62" s="136">
        <v>3</v>
      </c>
      <c r="F62" s="137">
        <v>30269362</v>
      </c>
      <c r="G62" s="198">
        <f>IF(ISBLANK(F62),"-",(F62/$D$50*$D$47*$B$68)*($B$57/$D$60))</f>
        <v>244.18390657313287</v>
      </c>
      <c r="H62" s="216">
        <f t="shared" si="0"/>
        <v>97.673562629253155</v>
      </c>
      <c r="L62" s="64"/>
    </row>
    <row r="63" spans="1:12" ht="27" customHeight="1" x14ac:dyDescent="0.4">
      <c r="A63" s="76" t="s">
        <v>97</v>
      </c>
      <c r="B63" s="77">
        <v>1</v>
      </c>
      <c r="C63" s="314"/>
      <c r="D63" s="317"/>
      <c r="E63" s="138">
        <v>4</v>
      </c>
      <c r="F63" s="139"/>
      <c r="G63" s="198" t="str">
        <f>IF(ISBLANK(F63),"-",(F63/$D$50*$D$47*$B$68)*($B$57/$D$60))</f>
        <v>-</v>
      </c>
      <c r="H63" s="216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12" t="s">
        <v>99</v>
      </c>
      <c r="D64" s="315">
        <v>653.83000000000004</v>
      </c>
      <c r="E64" s="134">
        <v>1</v>
      </c>
      <c r="F64" s="135">
        <v>29494453</v>
      </c>
      <c r="G64" s="197">
        <f>IF(ISBLANK(F64),"-",(F64/$D$50*$D$47*$B$68)*($B$57/$D$64))</f>
        <v>240.3490271638525</v>
      </c>
      <c r="H64" s="215">
        <f t="shared" si="0"/>
        <v>96.139610865541002</v>
      </c>
    </row>
    <row r="65" spans="1:8" ht="26.25" customHeight="1" x14ac:dyDescent="0.4">
      <c r="A65" s="76" t="s">
        <v>100</v>
      </c>
      <c r="B65" s="77">
        <v>1</v>
      </c>
      <c r="C65" s="313"/>
      <c r="D65" s="316"/>
      <c r="E65" s="136">
        <v>2</v>
      </c>
      <c r="F65" s="89">
        <v>29613578</v>
      </c>
      <c r="G65" s="198">
        <f>IF(ISBLANK(F65),"-",(F65/$D$50*$D$47*$B$68)*($B$57/$D$64))</f>
        <v>241.31977165811023</v>
      </c>
      <c r="H65" s="216">
        <f t="shared" si="0"/>
        <v>96.527908663244091</v>
      </c>
    </row>
    <row r="66" spans="1:8" ht="26.25" customHeight="1" x14ac:dyDescent="0.4">
      <c r="A66" s="76" t="s">
        <v>101</v>
      </c>
      <c r="B66" s="77">
        <v>1</v>
      </c>
      <c r="C66" s="313"/>
      <c r="D66" s="316"/>
      <c r="E66" s="136">
        <v>3</v>
      </c>
      <c r="F66" s="89">
        <v>29076704</v>
      </c>
      <c r="G66" s="198">
        <f>IF(ISBLANK(F66),"-",(F66/$D$50*$D$47*$B$68)*($B$57/$D$64))</f>
        <v>236.94480855540186</v>
      </c>
      <c r="H66" s="216">
        <f t="shared" si="0"/>
        <v>94.777923422160754</v>
      </c>
    </row>
    <row r="67" spans="1:8" ht="27" customHeight="1" x14ac:dyDescent="0.4">
      <c r="A67" s="76" t="s">
        <v>102</v>
      </c>
      <c r="B67" s="77">
        <v>1</v>
      </c>
      <c r="C67" s="314"/>
      <c r="D67" s="317"/>
      <c r="E67" s="138">
        <v>4</v>
      </c>
      <c r="F67" s="139"/>
      <c r="G67" s="214" t="str">
        <f>IF(ISBLANK(F67),"-",(F67/$D$50*$D$47*$B$68)*($B$57/$D$64))</f>
        <v>-</v>
      </c>
      <c r="H67" s="217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500</v>
      </c>
      <c r="C68" s="312" t="s">
        <v>104</v>
      </c>
      <c r="D68" s="315">
        <v>652.95000000000005</v>
      </c>
      <c r="E68" s="134">
        <v>1</v>
      </c>
      <c r="F68" s="135">
        <v>29156636</v>
      </c>
      <c r="G68" s="197">
        <f>IF(ISBLANK(F68),"-",(F68/$D$50*$D$47*$B$68)*($B$57/$D$68))</f>
        <v>237.91638635778941</v>
      </c>
      <c r="H68" s="216">
        <f t="shared" si="0"/>
        <v>95.166554543115765</v>
      </c>
    </row>
    <row r="69" spans="1:8" ht="27" customHeight="1" x14ac:dyDescent="0.4">
      <c r="A69" s="124" t="s">
        <v>105</v>
      </c>
      <c r="B69" s="141">
        <f>(D47*B68)/B56*B57</f>
        <v>654.17549999999994</v>
      </c>
      <c r="C69" s="313"/>
      <c r="D69" s="316"/>
      <c r="E69" s="136">
        <v>2</v>
      </c>
      <c r="F69" s="89">
        <v>29206731</v>
      </c>
      <c r="G69" s="198">
        <f>IF(ISBLANK(F69),"-",(F69/$D$50*$D$47*$B$68)*($B$57/$D$68))</f>
        <v>238.32515852802857</v>
      </c>
      <c r="H69" s="216">
        <f t="shared" si="0"/>
        <v>95.330063411211427</v>
      </c>
    </row>
    <row r="70" spans="1:8" ht="26.25" customHeight="1" x14ac:dyDescent="0.4">
      <c r="A70" s="325" t="s">
        <v>78</v>
      </c>
      <c r="B70" s="326"/>
      <c r="C70" s="313"/>
      <c r="D70" s="316"/>
      <c r="E70" s="136">
        <v>3</v>
      </c>
      <c r="F70" s="89">
        <v>29253440</v>
      </c>
      <c r="G70" s="198">
        <f>IF(ISBLANK(F70),"-",(F70/$D$50*$D$47*$B$68)*($B$57/$D$68))</f>
        <v>238.70630114305405</v>
      </c>
      <c r="H70" s="216">
        <f t="shared" si="0"/>
        <v>95.482520457221625</v>
      </c>
    </row>
    <row r="71" spans="1:8" ht="27" customHeight="1" x14ac:dyDescent="0.4">
      <c r="A71" s="327"/>
      <c r="B71" s="328"/>
      <c r="C71" s="324"/>
      <c r="D71" s="317"/>
      <c r="E71" s="138">
        <v>4</v>
      </c>
      <c r="F71" s="139"/>
      <c r="G71" s="214" t="str">
        <f>IF(ISBLANK(F71),"-",(F71/$D$50*$D$47*$B$68)*($B$57/$D$68))</f>
        <v>-</v>
      </c>
      <c r="H71" s="217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3">
        <f>AVERAGE(G60:G71)</f>
        <v>240.54190113792205</v>
      </c>
      <c r="H72" s="218">
        <f>AVERAGE(H60:H71)</f>
        <v>96.21676045516881</v>
      </c>
    </row>
    <row r="73" spans="1:8" ht="26.25" customHeight="1" x14ac:dyDescent="0.4">
      <c r="C73" s="142"/>
      <c r="D73" s="142"/>
      <c r="E73" s="142"/>
      <c r="F73" s="145" t="s">
        <v>84</v>
      </c>
      <c r="G73" s="202">
        <f>STDEV(G60:G71)/G72</f>
        <v>1.1991051355379154E-2</v>
      </c>
      <c r="H73" s="202">
        <f>STDEV(H60:H71)/H72</f>
        <v>1.1991051355379145E-2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320" t="str">
        <f>B26</f>
        <v>Metronidazole</v>
      </c>
      <c r="D76" s="320"/>
      <c r="E76" s="150" t="s">
        <v>108</v>
      </c>
      <c r="F76" s="150"/>
      <c r="G76" s="151">
        <f>H72</f>
        <v>96.21676045516881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06" t="str">
        <f>B26</f>
        <v>Metronidazole</v>
      </c>
      <c r="C79" s="306"/>
    </row>
    <row r="80" spans="1:8" ht="26.25" customHeight="1" x14ac:dyDescent="0.4">
      <c r="A80" s="61" t="s">
        <v>48</v>
      </c>
      <c r="B80" s="306" t="str">
        <f>B27</f>
        <v>M2-3</v>
      </c>
      <c r="C80" s="306"/>
    </row>
    <row r="81" spans="1:12" ht="27" customHeight="1" x14ac:dyDescent="0.4">
      <c r="A81" s="61" t="s">
        <v>6</v>
      </c>
      <c r="B81" s="153">
        <f>B28</f>
        <v>99.83</v>
      </c>
    </row>
    <row r="82" spans="1:12" s="3" customFormat="1" ht="27" customHeight="1" x14ac:dyDescent="0.4">
      <c r="A82" s="61" t="s">
        <v>49</v>
      </c>
      <c r="B82" s="63">
        <v>0</v>
      </c>
      <c r="C82" s="297" t="s">
        <v>50</v>
      </c>
      <c r="D82" s="298"/>
      <c r="E82" s="298"/>
      <c r="F82" s="298"/>
      <c r="G82" s="29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99.83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300" t="s">
        <v>111</v>
      </c>
      <c r="D84" s="301"/>
      <c r="E84" s="301"/>
      <c r="F84" s="301"/>
      <c r="G84" s="301"/>
      <c r="H84" s="30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300" t="s">
        <v>112</v>
      </c>
      <c r="D85" s="301"/>
      <c r="E85" s="301"/>
      <c r="F85" s="301"/>
      <c r="G85" s="301"/>
      <c r="H85" s="30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303" t="s">
        <v>60</v>
      </c>
      <c r="G89" s="305"/>
    </row>
    <row r="90" spans="1:12" ht="27" customHeight="1" thickBot="1" x14ac:dyDescent="0.45">
      <c r="A90" s="76" t="s">
        <v>61</v>
      </c>
      <c r="B90" s="77">
        <v>2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</v>
      </c>
      <c r="C91" s="158">
        <v>1</v>
      </c>
      <c r="D91" s="329">
        <v>0.76400000000000001</v>
      </c>
      <c r="E91" s="85">
        <f>IF(ISBLANK(D91),"-",$D$101/$D$98*D91)</f>
        <v>0.79708891776020052</v>
      </c>
      <c r="F91" s="329">
        <v>0.79500000000000004</v>
      </c>
      <c r="G91" s="86">
        <f>IF(ISBLANK(F91),"-",$D$101/$F$98*F91)</f>
        <v>0.79600355989613203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330">
        <v>0.76200000000000001</v>
      </c>
      <c r="E92" s="90">
        <f>IF(ISBLANK(D92),"-",$D$101/$D$98*D92)</f>
        <v>0.79500229755663987</v>
      </c>
      <c r="F92" s="330">
        <v>0.79900000000000004</v>
      </c>
      <c r="G92" s="91">
        <f>IF(ISBLANK(F92),"-",$D$101/$F$98*F92)</f>
        <v>0.8000086092541</v>
      </c>
      <c r="I92" s="307">
        <f>ABS((F96/D96*D95)-F95)/D95</f>
        <v>2.1486059871887895E-3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330">
        <v>0.76200000000000001</v>
      </c>
      <c r="E93" s="90">
        <f>IF(ISBLANK(D93),"-",$D$101/$D$98*D93)</f>
        <v>0.79500229755663987</v>
      </c>
      <c r="F93" s="330">
        <v>0.79500000000000004</v>
      </c>
      <c r="G93" s="91">
        <f>IF(ISBLANK(F93),"-",$D$101/$F$98*F93)</f>
        <v>0.79600355989613203</v>
      </c>
      <c r="I93" s="307"/>
    </row>
    <row r="94" spans="1:12" ht="27" customHeight="1" thickBot="1" x14ac:dyDescent="0.45">
      <c r="A94" s="76" t="s">
        <v>69</v>
      </c>
      <c r="B94" s="77">
        <v>1</v>
      </c>
      <c r="C94" s="159">
        <v>4</v>
      </c>
      <c r="D94" s="331"/>
      <c r="E94" s="95" t="str">
        <f>IF(ISBLANK(D94),"-",$D$101/$D$98*D94)</f>
        <v>-</v>
      </c>
      <c r="F94" s="331"/>
      <c r="G94" s="96" t="str">
        <f>IF(ISBLANK(F94),"-",$D$101/$F$98*F94)</f>
        <v>-</v>
      </c>
      <c r="I94" s="97"/>
    </row>
    <row r="95" spans="1:12" ht="27" customHeight="1" thickBot="1" x14ac:dyDescent="0.45">
      <c r="A95" s="76" t="s">
        <v>70</v>
      </c>
      <c r="B95" s="77">
        <v>1</v>
      </c>
      <c r="C95" s="160" t="s">
        <v>71</v>
      </c>
      <c r="D95" s="332">
        <f>AVERAGE(D91:D94)</f>
        <v>0.76266666666666671</v>
      </c>
      <c r="E95" s="100">
        <f>AVERAGE(E91:E94)</f>
        <v>0.79569783762449342</v>
      </c>
      <c r="F95" s="333">
        <f>AVERAGE(F91:F94)</f>
        <v>0.79633333333333345</v>
      </c>
      <c r="G95" s="161">
        <f>AVERAGE(G91:G94)</f>
        <v>0.79733857634878802</v>
      </c>
    </row>
    <row r="96" spans="1:12" ht="26.25" customHeight="1" x14ac:dyDescent="0.4">
      <c r="A96" s="76" t="s">
        <v>72</v>
      </c>
      <c r="B96" s="62">
        <v>1</v>
      </c>
      <c r="C96" s="162" t="s">
        <v>113</v>
      </c>
      <c r="D96" s="163">
        <v>26.67</v>
      </c>
      <c r="E96" s="92"/>
      <c r="F96" s="104">
        <v>27.79</v>
      </c>
    </row>
    <row r="97" spans="1:10" ht="26.25" customHeight="1" x14ac:dyDescent="0.4">
      <c r="A97" s="76" t="s">
        <v>74</v>
      </c>
      <c r="B97" s="62">
        <v>1</v>
      </c>
      <c r="C97" s="164" t="s">
        <v>114</v>
      </c>
      <c r="D97" s="165">
        <f>D96*$B$87</f>
        <v>26.67</v>
      </c>
      <c r="E97" s="107"/>
      <c r="F97" s="106">
        <f>F96*$B$87</f>
        <v>27.79</v>
      </c>
    </row>
    <row r="98" spans="1:10" ht="19.5" customHeight="1" x14ac:dyDescent="0.3">
      <c r="A98" s="76" t="s">
        <v>76</v>
      </c>
      <c r="B98" s="166">
        <f>(B97/B96)*(B95/B94)*(B93/B92)*(B91/B90)*B89</f>
        <v>250</v>
      </c>
      <c r="C98" s="164" t="s">
        <v>115</v>
      </c>
      <c r="D98" s="167">
        <f>D97*$B$83/100</f>
        <v>26.624661</v>
      </c>
      <c r="E98" s="110"/>
      <c r="F98" s="109">
        <f>F97*$B$83/100</f>
        <v>27.742756999999997</v>
      </c>
    </row>
    <row r="99" spans="1:10" ht="19.5" customHeight="1" x14ac:dyDescent="0.3">
      <c r="A99" s="308" t="s">
        <v>78</v>
      </c>
      <c r="B99" s="322"/>
      <c r="C99" s="164" t="s">
        <v>116</v>
      </c>
      <c r="D99" s="168">
        <f>D98/$B$98</f>
        <v>0.106498644</v>
      </c>
      <c r="E99" s="110"/>
      <c r="F99" s="113">
        <f>F98/$B$98</f>
        <v>0.11097102799999999</v>
      </c>
      <c r="G99" s="169"/>
      <c r="H99" s="102"/>
    </row>
    <row r="100" spans="1:10" ht="19.5" customHeight="1" x14ac:dyDescent="0.3">
      <c r="A100" s="310"/>
      <c r="B100" s="323"/>
      <c r="C100" s="164" t="s">
        <v>80</v>
      </c>
      <c r="D100" s="170">
        <f>$B$56/$B$116</f>
        <v>0.1111111111111111</v>
      </c>
      <c r="F100" s="118"/>
      <c r="G100" s="171"/>
      <c r="H100" s="102"/>
    </row>
    <row r="101" spans="1:10" ht="18.75" x14ac:dyDescent="0.3">
      <c r="C101" s="164" t="s">
        <v>81</v>
      </c>
      <c r="D101" s="165">
        <f>D100*$B$98</f>
        <v>27.777777777777775</v>
      </c>
      <c r="F101" s="118"/>
      <c r="G101" s="169"/>
      <c r="H101" s="102"/>
    </row>
    <row r="102" spans="1:10" ht="19.5" customHeight="1" x14ac:dyDescent="0.3">
      <c r="C102" s="172" t="s">
        <v>82</v>
      </c>
      <c r="D102" s="173">
        <f>D101/B34</f>
        <v>27.777777777777775</v>
      </c>
      <c r="F102" s="122"/>
      <c r="G102" s="169"/>
      <c r="H102" s="102"/>
      <c r="J102" s="174"/>
    </row>
    <row r="103" spans="1:10" ht="18.75" x14ac:dyDescent="0.3">
      <c r="C103" s="175" t="s">
        <v>117</v>
      </c>
      <c r="D103" s="176">
        <f>AVERAGE(E91:E94,G91:G94)</f>
        <v>0.79651820698664066</v>
      </c>
      <c r="F103" s="122"/>
      <c r="G103" s="177"/>
      <c r="H103" s="102"/>
      <c r="J103" s="178"/>
    </row>
    <row r="104" spans="1:10" ht="18.75" x14ac:dyDescent="0.3">
      <c r="C104" s="145" t="s">
        <v>84</v>
      </c>
      <c r="D104" s="179">
        <f>STDEV(E91:E94,G91:G94)/D103</f>
        <v>2.3577538479269463E-3</v>
      </c>
      <c r="F104" s="122"/>
      <c r="G104" s="169"/>
      <c r="H104" s="102"/>
      <c r="J104" s="178"/>
    </row>
    <row r="105" spans="1:10" ht="19.5" customHeight="1" x14ac:dyDescent="0.3">
      <c r="C105" s="147" t="s">
        <v>20</v>
      </c>
      <c r="D105" s="180">
        <f>COUNT(E91:E94,G91:G94)</f>
        <v>6</v>
      </c>
      <c r="F105" s="122"/>
      <c r="G105" s="169"/>
      <c r="H105" s="102"/>
      <c r="J105" s="17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19" t="s">
        <v>119</v>
      </c>
      <c r="D107" s="219" t="s">
        <v>63</v>
      </c>
      <c r="E107" s="219" t="s">
        <v>120</v>
      </c>
      <c r="F107" s="181" t="s">
        <v>121</v>
      </c>
    </row>
    <row r="108" spans="1:10" ht="26.25" customHeight="1" x14ac:dyDescent="0.4">
      <c r="A108" s="76" t="s">
        <v>122</v>
      </c>
      <c r="B108" s="77">
        <v>2</v>
      </c>
      <c r="C108" s="222">
        <v>1</v>
      </c>
      <c r="D108" s="231">
        <v>0.76100000000000001</v>
      </c>
      <c r="E108" s="199">
        <f t="shared" ref="E108:E113" si="1">IF(ISBLANK(D108),"-",D108/$D$103*$D$100*$B$116)</f>
        <v>238.85204171257681</v>
      </c>
      <c r="F108" s="223">
        <f t="shared" ref="F108:F113" si="2">IF(ISBLANK(D108), "-", (E108/$B$56)*100)</f>
        <v>95.540816685030734</v>
      </c>
    </row>
    <row r="109" spans="1:10" ht="26.25" customHeight="1" x14ac:dyDescent="0.4">
      <c r="A109" s="76" t="s">
        <v>95</v>
      </c>
      <c r="B109" s="77">
        <v>5</v>
      </c>
      <c r="C109" s="220">
        <v>2</v>
      </c>
      <c r="D109" s="232">
        <v>0.76400000000000001</v>
      </c>
      <c r="E109" s="200">
        <f t="shared" si="1"/>
        <v>239.79363977451865</v>
      </c>
      <c r="F109" s="224">
        <f t="shared" si="2"/>
        <v>95.917455909807458</v>
      </c>
    </row>
    <row r="110" spans="1:10" ht="26.25" customHeight="1" x14ac:dyDescent="0.4">
      <c r="A110" s="76" t="s">
        <v>96</v>
      </c>
      <c r="B110" s="77">
        <v>1</v>
      </c>
      <c r="C110" s="220">
        <v>3</v>
      </c>
      <c r="D110" s="232">
        <v>0.76500000000000001</v>
      </c>
      <c r="E110" s="200">
        <f t="shared" si="1"/>
        <v>240.10750579516591</v>
      </c>
      <c r="F110" s="224">
        <f t="shared" si="2"/>
        <v>96.043002318066357</v>
      </c>
    </row>
    <row r="111" spans="1:10" ht="26.25" customHeight="1" x14ac:dyDescent="0.4">
      <c r="A111" s="76" t="s">
        <v>97</v>
      </c>
      <c r="B111" s="77">
        <v>1</v>
      </c>
      <c r="C111" s="220">
        <v>4</v>
      </c>
      <c r="D111" s="232">
        <v>0.76100000000000001</v>
      </c>
      <c r="E111" s="200">
        <f t="shared" si="1"/>
        <v>238.85204171257681</v>
      </c>
      <c r="F111" s="224">
        <f t="shared" si="2"/>
        <v>95.540816685030734</v>
      </c>
    </row>
    <row r="112" spans="1:10" ht="26.25" customHeight="1" x14ac:dyDescent="0.4">
      <c r="A112" s="76" t="s">
        <v>98</v>
      </c>
      <c r="B112" s="77">
        <v>1</v>
      </c>
      <c r="C112" s="220">
        <v>5</v>
      </c>
      <c r="D112" s="232">
        <v>0.76400000000000001</v>
      </c>
      <c r="E112" s="200">
        <f t="shared" si="1"/>
        <v>239.79363977451865</v>
      </c>
      <c r="F112" s="224">
        <f t="shared" si="2"/>
        <v>95.917455909807458</v>
      </c>
    </row>
    <row r="113" spans="1:10" ht="27" customHeight="1" x14ac:dyDescent="0.4">
      <c r="A113" s="76" t="s">
        <v>100</v>
      </c>
      <c r="B113" s="77">
        <v>1</v>
      </c>
      <c r="C113" s="221">
        <v>6</v>
      </c>
      <c r="D113" s="233">
        <v>0.75600000000000001</v>
      </c>
      <c r="E113" s="201">
        <f t="shared" si="1"/>
        <v>237.28271160934042</v>
      </c>
      <c r="F113" s="225">
        <f t="shared" si="2"/>
        <v>94.91308464373617</v>
      </c>
    </row>
    <row r="114" spans="1:10" ht="27" customHeight="1" x14ac:dyDescent="0.4">
      <c r="A114" s="76" t="s">
        <v>101</v>
      </c>
      <c r="B114" s="77">
        <v>1</v>
      </c>
      <c r="C114" s="182"/>
      <c r="D114" s="143"/>
      <c r="E114" s="50"/>
      <c r="F114" s="226"/>
    </row>
    <row r="115" spans="1:10" ht="26.25" customHeight="1" x14ac:dyDescent="0.4">
      <c r="A115" s="76" t="s">
        <v>102</v>
      </c>
      <c r="B115" s="77">
        <v>1</v>
      </c>
      <c r="C115" s="182"/>
      <c r="D115" s="206" t="s">
        <v>71</v>
      </c>
      <c r="E115" s="208">
        <f>AVERAGE(E108:E113)</f>
        <v>239.11359672978287</v>
      </c>
      <c r="F115" s="227">
        <f>AVERAGE(F108:F113)</f>
        <v>95.645438691913157</v>
      </c>
    </row>
    <row r="116" spans="1:10" ht="27" customHeight="1" x14ac:dyDescent="0.4">
      <c r="A116" s="76" t="s">
        <v>103</v>
      </c>
      <c r="B116" s="108">
        <f>(B115/B114)*(B113/B112)*(B111/B110)*(B109/B108)*B107</f>
        <v>2250</v>
      </c>
      <c r="C116" s="183"/>
      <c r="D116" s="207" t="s">
        <v>84</v>
      </c>
      <c r="E116" s="205">
        <f>STDEV(E108:E113)/E115</f>
        <v>4.3468769921749676E-3</v>
      </c>
      <c r="F116" s="184">
        <f>STDEV(F108:F113)/F115</f>
        <v>4.3468769921749363E-3</v>
      </c>
      <c r="I116" s="50"/>
    </row>
    <row r="117" spans="1:10" ht="27" customHeight="1" x14ac:dyDescent="0.4">
      <c r="A117" s="308" t="s">
        <v>78</v>
      </c>
      <c r="B117" s="309"/>
      <c r="C117" s="185"/>
      <c r="D117" s="147" t="s">
        <v>20</v>
      </c>
      <c r="E117" s="210">
        <f>COUNT(E108:E113)</f>
        <v>6</v>
      </c>
      <c r="F117" s="211">
        <f>COUNT(F108:F113)</f>
        <v>6</v>
      </c>
      <c r="I117" s="50"/>
      <c r="J117" s="178"/>
    </row>
    <row r="118" spans="1:10" ht="26.25" customHeight="1" x14ac:dyDescent="0.3">
      <c r="A118" s="310"/>
      <c r="B118" s="311"/>
      <c r="C118" s="50"/>
      <c r="D118" s="209"/>
      <c r="E118" s="288" t="s">
        <v>123</v>
      </c>
      <c r="F118" s="289"/>
      <c r="G118" s="50"/>
      <c r="H118" s="50"/>
      <c r="I118" s="50"/>
    </row>
    <row r="119" spans="1:10" ht="25.5" customHeight="1" x14ac:dyDescent="0.4">
      <c r="A119" s="194"/>
      <c r="B119" s="72"/>
      <c r="C119" s="50"/>
      <c r="D119" s="207" t="s">
        <v>124</v>
      </c>
      <c r="E119" s="212">
        <f>MIN(E108:E113)</f>
        <v>237.28271160934042</v>
      </c>
      <c r="F119" s="228">
        <f>MIN(F108:F113)</f>
        <v>94.91308464373617</v>
      </c>
      <c r="G119" s="50"/>
      <c r="H119" s="50"/>
      <c r="I119" s="50"/>
    </row>
    <row r="120" spans="1:10" ht="24" customHeight="1" x14ac:dyDescent="0.4">
      <c r="A120" s="194"/>
      <c r="B120" s="72"/>
      <c r="C120" s="50"/>
      <c r="D120" s="119" t="s">
        <v>125</v>
      </c>
      <c r="E120" s="213">
        <f>MAX(E108:E113)</f>
        <v>240.10750579516591</v>
      </c>
      <c r="F120" s="229">
        <f>MAX(F108:F113)</f>
        <v>96.043002318066357</v>
      </c>
      <c r="G120" s="50"/>
      <c r="H120" s="50"/>
      <c r="I120" s="50"/>
    </row>
    <row r="121" spans="1:10" ht="27" customHeight="1" x14ac:dyDescent="0.3">
      <c r="A121" s="194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4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4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320" t="str">
        <f>B26</f>
        <v>Metronidazole</v>
      </c>
      <c r="D124" s="320"/>
      <c r="E124" s="150" t="s">
        <v>127</v>
      </c>
      <c r="F124" s="150"/>
      <c r="G124" s="230">
        <f>F115</f>
        <v>95.645438691913157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0">
        <f>MIN(F108:F113)</f>
        <v>94.91308464373617</v>
      </c>
      <c r="E125" s="160" t="s">
        <v>130</v>
      </c>
      <c r="F125" s="230">
        <f>MAX(F108:F113)</f>
        <v>96.043002318066357</v>
      </c>
      <c r="G125" s="151"/>
      <c r="H125" s="50"/>
      <c r="I125" s="50"/>
    </row>
    <row r="126" spans="1:10" ht="19.5" customHeight="1" x14ac:dyDescent="0.3">
      <c r="A126" s="186"/>
      <c r="B126" s="186"/>
      <c r="C126" s="187"/>
      <c r="D126" s="187"/>
      <c r="E126" s="187"/>
      <c r="F126" s="187"/>
      <c r="G126" s="187"/>
      <c r="H126" s="187"/>
    </row>
    <row r="127" spans="1:10" ht="18.75" x14ac:dyDescent="0.3">
      <c r="B127" s="321" t="s">
        <v>26</v>
      </c>
      <c r="C127" s="321"/>
      <c r="E127" s="156" t="s">
        <v>27</v>
      </c>
      <c r="F127" s="188"/>
      <c r="G127" s="321" t="s">
        <v>28</v>
      </c>
      <c r="H127" s="321"/>
    </row>
    <row r="128" spans="1:10" ht="69.95" customHeight="1" x14ac:dyDescent="0.3">
      <c r="A128" s="189" t="s">
        <v>29</v>
      </c>
      <c r="B128" s="190"/>
      <c r="C128" s="190"/>
      <c r="E128" s="190"/>
      <c r="F128" s="50"/>
      <c r="G128" s="191"/>
      <c r="H128" s="191"/>
    </row>
    <row r="129" spans="1:9" ht="69.95" customHeight="1" x14ac:dyDescent="0.3">
      <c r="A129" s="189" t="s">
        <v>30</v>
      </c>
      <c r="B129" s="192"/>
      <c r="C129" s="192"/>
      <c r="E129" s="192"/>
      <c r="F129" s="50"/>
      <c r="G129" s="193"/>
      <c r="H129" s="193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Metronidazole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2017-05-18T07:33:02Z</cp:lastPrinted>
  <dcterms:created xsi:type="dcterms:W3CDTF">2005-07-05T10:19:27Z</dcterms:created>
  <dcterms:modified xsi:type="dcterms:W3CDTF">2017-05-18T13:26:53Z</dcterms:modified>
</cp:coreProperties>
</file>