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610" windowHeight="11445" activeTab="3"/>
  </bookViews>
  <sheets>
    <sheet name="SST" sheetId="1" r:id="rId1"/>
    <sheet name="Uniformity" sheetId="7" r:id="rId2"/>
    <sheet name="NALTREXONE HYDROCHLORIDE" sheetId="2" r:id="rId3"/>
    <sheet name="NALTREXONE HYDROCHLORIDE UOC" sheetId="3" r:id="rId4"/>
  </sheets>
  <definedNames>
    <definedName name="_xlnm.Print_Area" localSheetId="2">'NALTREXONE HYDROCHLORIDE'!$A$1:$I$131</definedName>
    <definedName name="_xlnm.Print_Area" localSheetId="3">'NALTREXONE HYDROCHLORIDE UOC'!$A$1:$G$84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57" i="2" l="1"/>
  <c r="C43" i="7"/>
  <c r="B43" i="7"/>
  <c r="C42" i="7"/>
  <c r="B42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42" i="7" l="1"/>
  <c r="D43" i="7"/>
  <c r="E33" i="7" s="1"/>
  <c r="E31" i="7" l="1"/>
  <c r="D48" i="7"/>
  <c r="B47" i="7"/>
  <c r="C48" i="7"/>
  <c r="E39" i="7"/>
  <c r="D47" i="7"/>
  <c r="C47" i="7"/>
  <c r="E40" i="7"/>
  <c r="E38" i="7"/>
  <c r="E36" i="7"/>
  <c r="E34" i="7"/>
  <c r="E32" i="7"/>
  <c r="E30" i="7"/>
  <c r="E28" i="7"/>
  <c r="E26" i="7"/>
  <c r="E24" i="7"/>
  <c r="E22" i="7"/>
  <c r="E29" i="7"/>
  <c r="E27" i="7"/>
  <c r="E21" i="7"/>
  <c r="E25" i="7"/>
  <c r="E23" i="7"/>
  <c r="E37" i="7"/>
  <c r="E35" i="7"/>
  <c r="B42" i="1" l="1"/>
  <c r="B41" i="1"/>
  <c r="B21" i="1"/>
  <c r="C129" i="3" l="1"/>
  <c r="B125" i="3"/>
  <c r="D109" i="3" s="1"/>
  <c r="D110" i="3" s="1"/>
  <c r="D111" i="3" s="1"/>
  <c r="F122" i="3"/>
  <c r="E122" i="3"/>
  <c r="F121" i="3"/>
  <c r="E121" i="3"/>
  <c r="F120" i="3"/>
  <c r="E120" i="3"/>
  <c r="F119" i="3"/>
  <c r="E119" i="3"/>
  <c r="F118" i="3"/>
  <c r="E118" i="3"/>
  <c r="F117" i="3"/>
  <c r="E117" i="3"/>
  <c r="B107" i="3"/>
  <c r="F104" i="3"/>
  <c r="D104" i="3"/>
  <c r="G103" i="3"/>
  <c r="E103" i="3"/>
  <c r="G102" i="3"/>
  <c r="E102" i="3"/>
  <c r="G101" i="3"/>
  <c r="E101" i="3"/>
  <c r="G100" i="3"/>
  <c r="E100" i="3"/>
  <c r="B96" i="3"/>
  <c r="D106" i="3" s="1"/>
  <c r="B90" i="3"/>
  <c r="B89" i="3"/>
  <c r="B91" i="3" s="1"/>
  <c r="C74" i="3"/>
  <c r="B67" i="3"/>
  <c r="C56" i="3"/>
  <c r="B55" i="3"/>
  <c r="B45" i="3"/>
  <c r="D48" i="3" s="1"/>
  <c r="F42" i="3"/>
  <c r="D42" i="3"/>
  <c r="G41" i="3"/>
  <c r="E41" i="3"/>
  <c r="B34" i="3"/>
  <c r="F44" i="3" s="1"/>
  <c r="B30" i="3"/>
  <c r="C124" i="2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2" l="1"/>
  <c r="D45" i="2" s="1"/>
  <c r="D49" i="3"/>
  <c r="I92" i="2"/>
  <c r="D101" i="2"/>
  <c r="D102" i="2" s="1"/>
  <c r="F45" i="3"/>
  <c r="G39" i="3" s="1"/>
  <c r="F126" i="3"/>
  <c r="G104" i="3"/>
  <c r="D44" i="3"/>
  <c r="D45" i="3" s="1"/>
  <c r="E38" i="3" s="1"/>
  <c r="D114" i="3"/>
  <c r="D107" i="3"/>
  <c r="D108" i="3" s="1"/>
  <c r="I39" i="2"/>
  <c r="F98" i="2"/>
  <c r="F99" i="2" s="1"/>
  <c r="F45" i="2"/>
  <c r="F46" i="2" s="1"/>
  <c r="D49" i="2"/>
  <c r="G38" i="2"/>
  <c r="E41" i="2"/>
  <c r="D97" i="2"/>
  <c r="D98" i="2" s="1"/>
  <c r="D99" i="2" s="1"/>
  <c r="E104" i="3"/>
  <c r="F106" i="3"/>
  <c r="F107" i="3" s="1"/>
  <c r="F108" i="3" s="1"/>
  <c r="F124" i="3"/>
  <c r="D112" i="3"/>
  <c r="D113" i="3" s="1"/>
  <c r="D46" i="2" l="1"/>
  <c r="E39" i="2"/>
  <c r="D46" i="3"/>
  <c r="G40" i="3"/>
  <c r="F46" i="3"/>
  <c r="G38" i="3"/>
  <c r="E40" i="2"/>
  <c r="E39" i="3"/>
  <c r="E40" i="3"/>
  <c r="E38" i="2"/>
  <c r="G41" i="2"/>
  <c r="G39" i="2"/>
  <c r="G40" i="2"/>
  <c r="G93" i="2"/>
  <c r="G91" i="2"/>
  <c r="G92" i="2"/>
  <c r="G94" i="2"/>
  <c r="E93" i="2"/>
  <c r="F125" i="3"/>
  <c r="G129" i="3"/>
  <c r="E91" i="2"/>
  <c r="E92" i="2"/>
  <c r="E94" i="2"/>
  <c r="E42" i="2" l="1"/>
  <c r="D52" i="3"/>
  <c r="G42" i="3"/>
  <c r="D50" i="3"/>
  <c r="E42" i="3"/>
  <c r="G42" i="2"/>
  <c r="D52" i="2"/>
  <c r="D50" i="2"/>
  <c r="G65" i="2" s="1"/>
  <c r="H65" i="2" s="1"/>
  <c r="G95" i="2"/>
  <c r="D103" i="2"/>
  <c r="E95" i="2"/>
  <c r="D105" i="2"/>
  <c r="D51" i="3" l="1"/>
  <c r="E67" i="3"/>
  <c r="E64" i="3"/>
  <c r="E60" i="3"/>
  <c r="E63" i="3"/>
  <c r="E59" i="3"/>
  <c r="E66" i="3"/>
  <c r="E62" i="3"/>
  <c r="E68" i="3"/>
  <c r="G68" i="3" s="1"/>
  <c r="E65" i="3"/>
  <c r="E61" i="3"/>
  <c r="G70" i="2"/>
  <c r="H70" i="2" s="1"/>
  <c r="G60" i="2"/>
  <c r="H60" i="2" s="1"/>
  <c r="G64" i="2"/>
  <c r="H64" i="2" s="1"/>
  <c r="G68" i="2"/>
  <c r="H68" i="2" s="1"/>
  <c r="G61" i="2"/>
  <c r="H61" i="2" s="1"/>
  <c r="G66" i="2"/>
  <c r="H66" i="2" s="1"/>
  <c r="G63" i="2"/>
  <c r="H63" i="2" s="1"/>
  <c r="D51" i="2"/>
  <c r="G69" i="2"/>
  <c r="H69" i="2" s="1"/>
  <c r="G67" i="2"/>
  <c r="H67" i="2" s="1"/>
  <c r="G62" i="2"/>
  <c r="H62" i="2" s="1"/>
  <c r="G71" i="2"/>
  <c r="H71" i="2" s="1"/>
  <c r="E113" i="2"/>
  <c r="F113" i="2" s="1"/>
  <c r="E109" i="2"/>
  <c r="F109" i="2" s="1"/>
  <c r="E112" i="2"/>
  <c r="F112" i="2" s="1"/>
  <c r="E110" i="2"/>
  <c r="F110" i="2" s="1"/>
  <c r="E108" i="2"/>
  <c r="E111" i="2"/>
  <c r="F111" i="2" s="1"/>
  <c r="D104" i="2"/>
  <c r="G62" i="3" l="1"/>
  <c r="G61" i="3"/>
  <c r="G66" i="3"/>
  <c r="G64" i="3"/>
  <c r="G65" i="3"/>
  <c r="G59" i="3"/>
  <c r="E72" i="3"/>
  <c r="E70" i="3"/>
  <c r="F65" i="3" s="1"/>
  <c r="G67" i="3"/>
  <c r="G60" i="3"/>
  <c r="G63" i="3"/>
  <c r="G74" i="2"/>
  <c r="G72" i="2"/>
  <c r="G73" i="2" s="1"/>
  <c r="E120" i="2"/>
  <c r="E117" i="2"/>
  <c r="F108" i="2"/>
  <c r="E115" i="2"/>
  <c r="E116" i="2" s="1"/>
  <c r="E119" i="2"/>
  <c r="H72" i="2"/>
  <c r="H74" i="2"/>
  <c r="F60" i="3" l="1"/>
  <c r="F59" i="3"/>
  <c r="F66" i="3"/>
  <c r="F62" i="3"/>
  <c r="F63" i="3"/>
  <c r="F67" i="3"/>
  <c r="F64" i="3"/>
  <c r="F61" i="3"/>
  <c r="C81" i="3"/>
  <c r="G72" i="3"/>
  <c r="F68" i="3"/>
  <c r="E71" i="3"/>
  <c r="G70" i="3"/>
  <c r="G76" i="2"/>
  <c r="H73" i="2"/>
  <c r="D125" i="2"/>
  <c r="F115" i="2"/>
  <c r="F125" i="2"/>
  <c r="F120" i="2"/>
  <c r="F117" i="2"/>
  <c r="F119" i="2"/>
  <c r="F70" i="3" l="1"/>
  <c r="F71" i="3" s="1"/>
  <c r="C82" i="3"/>
  <c r="G74" i="3"/>
  <c r="G71" i="3"/>
  <c r="C79" i="3"/>
  <c r="F72" i="3"/>
  <c r="G124" i="2"/>
  <c r="F116" i="2"/>
  <c r="C83" i="3" l="1"/>
</calcChain>
</file>

<file path=xl/sharedStrings.xml><?xml version="1.0" encoding="utf-8"?>
<sst xmlns="http://schemas.openxmlformats.org/spreadsheetml/2006/main" count="403" uniqueCount="166">
  <si>
    <t>HPLC System Suitability Report</t>
  </si>
  <si>
    <t>Analysis Data</t>
  </si>
  <si>
    <t>Assay</t>
  </si>
  <si>
    <t>Sample(s)</t>
  </si>
  <si>
    <t>Reference Substance:</t>
  </si>
  <si>
    <t xml:space="preserve">LODONAL </t>
  </si>
  <si>
    <t>% age Purity:</t>
  </si>
  <si>
    <t>NDQD201703349</t>
  </si>
  <si>
    <t>Weight (mg):</t>
  </si>
  <si>
    <t xml:space="preserve">Naltrexone Hydrochloride 4.5mg </t>
  </si>
  <si>
    <t>Standard Conc (mg/mL):</t>
  </si>
  <si>
    <t>each contains naltrexone hydrochloride 4.5 mg</t>
  </si>
  <si>
    <t>2017-03-17 08:34:02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</si>
  <si>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</si>
  <si>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</si>
  <si>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</si>
  <si>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</si>
  <si>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</si>
  <si>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</si>
  <si>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</si>
  <si>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</si>
  <si>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</si>
  <si>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</si>
  <si>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</si>
  <si>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</si>
  <si>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</si>
  <si>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</si>
  <si>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</si>
  <si>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</si>
  <si>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</si>
  <si>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</si>
  <si>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</si>
  <si>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</si>
  <si>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</si>
  <si>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</si>
  <si>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</si>
  <si>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</si>
  <si>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</si>
  <si>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</si>
  <si>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</si>
  <si>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</si>
  <si>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</si>
  <si>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</si>
  <si>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</si>
  <si>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</si>
  <si>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</si>
  <si>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</si>
  <si>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</si>
  <si>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</si>
  <si>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</si>
  <si>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</si>
  <si>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</si>
  <si>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</si>
  <si>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</si>
  <si>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</si>
  <si>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</si>
  <si>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</si>
  <si>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</si>
  <si>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</si>
  <si>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</si>
  <si>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</si>
  <si>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</si>
  <si>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</si>
  <si>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</si>
  <si>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</si>
  <si>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</si>
  <si>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</si>
  <si>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</si>
  <si>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</si>
  <si>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</si>
  <si>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</si>
  <si>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</si>
  <si>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</si>
  <si>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</si>
  <si>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</si>
  <si>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</si>
  <si>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</si>
  <si>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</si>
  <si>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</si>
  <si>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</si>
  <si>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</si>
  <si>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</si>
  <si>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</si>
  <si>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</si>
  <si>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</si>
  <si>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</si>
  <si>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</si>
  <si>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</si>
  <si>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</si>
  <si>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</si>
  <si>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</si>
  <si>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</si>
  <si>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</si>
  <si>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</si>
  <si>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</si>
  <si>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</si>
  <si>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</si>
  <si>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</si>
  <si>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</si>
  <si>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</si>
  <si>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</si>
  <si>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</si>
  <si>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</si>
  <si>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</si>
  <si>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</si>
  <si>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</si>
  <si>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</si>
  <si>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</si>
  <si>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</si>
  <si>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</si>
  <si>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</si>
  <si>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</si>
  <si>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</si>
  <si>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</si>
  <si>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</si>
  <si>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</si>
  <si>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</si>
  <si>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</si>
  <si>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</si>
  <si>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</si>
  <si>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</si>
  <si>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</si>
  <si>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</si>
  <si>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</si>
  <si>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</si>
  <si>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</si>
  <si>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</si>
  <si>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</si>
  <si>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</si>
  <si>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</si>
  <si>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</si>
  <si>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</si>
  <si>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</si>
  <si>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</si>
  <si>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</si>
  <si>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</si>
  <si>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</si>
  <si>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</si>
  <si>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</si>
  <si>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</si>
  <si>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</si>
  <si>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</si>
  <si>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</si>
  <si>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</si>
  <si>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Naltrexone</t>
  </si>
  <si>
    <t>N20-1</t>
  </si>
  <si>
    <t>EACH CAPSULE CONTAINS 4.5 MG NALTREXONE HYDROCHLORIDE</t>
  </si>
  <si>
    <t>NALTEXONE</t>
  </si>
  <si>
    <t>N 20 1</t>
  </si>
  <si>
    <t>NALTREXONE</t>
  </si>
  <si>
    <t>Dissolution/UOC</t>
  </si>
  <si>
    <t>Uniformity of Weight Test Report</t>
  </si>
  <si>
    <t>PIROXICAM CAPSULES B.P 20 MG</t>
  </si>
  <si>
    <t>NDQD201605940</t>
  </si>
  <si>
    <t>Piroxicam</t>
  </si>
  <si>
    <t>Each capsule contains Piroxicam 20 mg</t>
  </si>
  <si>
    <t>2016-05-13 10:31:28</t>
  </si>
  <si>
    <t>2016-08-04 15:37:22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</si>
  <si>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</si>
  <si>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</si>
  <si>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</si>
  <si>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</si>
  <si>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</si>
  <si>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</si>
  <si>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</si>
  <si>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%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</si>
</sst>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0.0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54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7" fontId="11" fillId="3" borderId="0" xfId="0" applyNumberFormat="1" applyFont="1" applyFill="1" applyAlignment="1" applyProtection="1">
      <alignment horizontal="left"/>
      <protection locked="0"/>
    </xf>
    <xf numFmtId="0" fontId="11" fillId="2" borderId="0" xfId="0" applyFont="1" applyFill="1"/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57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2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10" fillId="3" borderId="36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58" xfId="0" applyFont="1" applyFill="1" applyBorder="1" applyAlignment="1">
      <alignment horizontal="center"/>
    </xf>
    <xf numFmtId="0" fontId="9" fillId="7" borderId="5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60" xfId="0" applyFont="1" applyFill="1" applyBorder="1" applyAlignment="1">
      <alignment horizontal="center" wrapText="1"/>
    </xf>
    <xf numFmtId="0" fontId="9" fillId="7" borderId="13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2" fontId="8" fillId="2" borderId="32" xfId="0" applyNumberFormat="1" applyFont="1" applyFill="1" applyBorder="1" applyAlignment="1">
      <alignment horizontal="center"/>
    </xf>
    <xf numFmtId="2" fontId="8" fillId="2" borderId="61" xfId="0" applyNumberFormat="1" applyFont="1" applyFill="1" applyBorder="1" applyAlignment="1">
      <alignment horizontal="center"/>
    </xf>
    <xf numFmtId="2" fontId="8" fillId="2" borderId="41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5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2" fontId="10" fillId="5" borderId="18" xfId="0" applyNumberFormat="1" applyFont="1" applyFill="1" applyBorder="1" applyAlignment="1">
      <alignment horizontal="center"/>
    </xf>
    <xf numFmtId="10" fontId="9" fillId="6" borderId="18" xfId="0" applyNumberFormat="1" applyFont="1" applyFill="1" applyBorder="1" applyAlignment="1">
      <alignment horizontal="center"/>
    </xf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62" xfId="0" applyNumberFormat="1" applyFont="1" applyFill="1" applyBorder="1" applyAlignment="1">
      <alignment horizontal="center"/>
    </xf>
    <xf numFmtId="2" fontId="10" fillId="5" borderId="62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73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4" fillId="2" borderId="0" xfId="0" applyFont="1" applyFill="1"/>
    <xf numFmtId="0" fontId="10" fillId="3" borderId="13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169" fontId="8" fillId="2" borderId="4" xfId="0" applyNumberFormat="1" applyFont="1" applyFill="1" applyBorder="1" applyAlignment="1">
      <alignment horizontal="center"/>
    </xf>
    <xf numFmtId="0" fontId="10" fillId="3" borderId="45" xfId="0" applyFont="1" applyFill="1" applyBorder="1" applyAlignment="1" applyProtection="1">
      <alignment horizontal="center"/>
      <protection locked="0"/>
    </xf>
    <xf numFmtId="169" fontId="8" fillId="2" borderId="3" xfId="0" applyNumberFormat="1" applyFont="1" applyFill="1" applyBorder="1" applyAlignment="1">
      <alignment horizontal="center"/>
    </xf>
    <xf numFmtId="169" fontId="10" fillId="3" borderId="0" xfId="0" applyNumberFormat="1" applyFont="1" applyFill="1" applyAlignment="1" applyProtection="1">
      <alignment horizontal="center"/>
      <protection locked="0"/>
    </xf>
    <xf numFmtId="169" fontId="8" fillId="2" borderId="5" xfId="0" applyNumberFormat="1" applyFont="1" applyFill="1" applyBorder="1" applyAlignment="1">
      <alignment horizontal="center"/>
    </xf>
    <xf numFmtId="169" fontId="10" fillId="3" borderId="7" xfId="0" applyNumberFormat="1" applyFont="1" applyFill="1" applyBorder="1" applyAlignment="1" applyProtection="1">
      <alignment horizontal="center"/>
      <protection locked="0"/>
    </xf>
    <xf numFmtId="169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10" fillId="3" borderId="49" xfId="0" applyFont="1" applyFill="1" applyBorder="1" applyAlignment="1" applyProtection="1">
      <alignment horizontal="center"/>
      <protection locked="0"/>
    </xf>
    <xf numFmtId="2" fontId="8" fillId="6" borderId="18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6" xfId="0" applyFont="1" applyFill="1" applyBorder="1" applyAlignment="1">
      <alignment horizontal="right"/>
    </xf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6" xfId="0" applyFont="1" applyFill="1" applyBorder="1" applyAlignment="1">
      <alignment horizontal="right"/>
    </xf>
    <xf numFmtId="10" fontId="9" fillId="6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0" fontId="9" fillId="2" borderId="60" xfId="0" applyFont="1" applyFill="1" applyBorder="1"/>
    <xf numFmtId="0" fontId="9" fillId="2" borderId="13" xfId="0" applyFont="1" applyFill="1" applyBorder="1" applyAlignment="1">
      <alignment horizontal="center" wrapText="1"/>
    </xf>
    <xf numFmtId="169" fontId="10" fillId="3" borderId="24" xfId="0" applyNumberFormat="1" applyFont="1" applyFill="1" applyBorder="1" applyAlignment="1" applyProtection="1">
      <alignment horizontal="center"/>
      <protection locked="0"/>
    </xf>
    <xf numFmtId="2" fontId="8" fillId="2" borderId="17" xfId="0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69" fontId="10" fillId="3" borderId="28" xfId="0" applyNumberFormat="1" applyFont="1" applyFill="1" applyBorder="1" applyAlignment="1" applyProtection="1">
      <alignment horizontal="center"/>
      <protection locked="0"/>
    </xf>
    <xf numFmtId="2" fontId="8" fillId="2" borderId="28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9" xfId="0" applyFont="1" applyFill="1" applyBorder="1"/>
    <xf numFmtId="0" fontId="8" fillId="2" borderId="63" xfId="0" applyFont="1" applyFill="1" applyBorder="1" applyAlignment="1">
      <alignment horizontal="center"/>
    </xf>
    <xf numFmtId="0" fontId="8" fillId="2" borderId="64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65" xfId="0" applyFont="1" applyFill="1" applyBorder="1" applyAlignment="1">
      <alignment horizontal="right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1" fillId="3" borderId="3" xfId="0" applyFont="1" applyFill="1" applyBorder="1" applyAlignment="1" applyProtection="1">
      <alignment horizontal="center" wrapText="1"/>
      <protection locked="0"/>
    </xf>
    <xf numFmtId="0" fontId="11" fillId="3" borderId="61" xfId="0" applyFont="1" applyFill="1" applyBorder="1" applyAlignment="1" applyProtection="1">
      <alignment horizontal="center" wrapText="1"/>
      <protection locked="0"/>
    </xf>
    <xf numFmtId="2" fontId="10" fillId="3" borderId="0" xfId="0" applyNumberFormat="1" applyFont="1" applyFill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9" fillId="2" borderId="2" xfId="0" applyFont="1" applyFill="1" applyBorder="1" applyAlignment="1">
      <alignment horizontal="center"/>
    </xf>
    <xf numFmtId="0" fontId="9" fillId="2" borderId="65" xfId="0" applyFont="1" applyFill="1" applyBorder="1" applyAlignment="1">
      <alignment horizontal="center"/>
    </xf>
    <xf numFmtId="0" fontId="2" fillId="2" borderId="0" xfId="3" applyFont="1" applyFill="1"/>
    <xf numFmtId="0" fontId="2" fillId="2" borderId="0" xfId="3" applyFont="1" applyFill="1" applyAlignment="1">
      <alignment horizontal="center"/>
    </xf>
    <xf numFmtId="10" fontId="2" fillId="2" borderId="0" xfId="3" applyNumberFormat="1" applyFont="1" applyFill="1"/>
    <xf numFmtId="164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1" fillId="2" borderId="0" xfId="3" applyFont="1" applyFill="1"/>
    <xf numFmtId="2" fontId="2" fillId="2" borderId="0" xfId="3" applyNumberFormat="1" applyFont="1" applyFill="1" applyAlignment="1">
      <alignment horizontal="center"/>
    </xf>
    <xf numFmtId="0" fontId="24" fillId="2" borderId="0" xfId="3" applyFont="1" applyFill="1" applyAlignment="1">
      <alignment horizontal="center" wrapText="1"/>
    </xf>
    <xf numFmtId="0" fontId="24" fillId="2" borderId="0" xfId="3" applyFont="1" applyFill="1" applyAlignment="1">
      <alignment horizontal="center" wrapText="1"/>
    </xf>
    <xf numFmtId="0" fontId="4" fillId="2" borderId="0" xfId="3" applyFont="1" applyFill="1" applyAlignment="1">
      <alignment horizontal="center"/>
    </xf>
    <xf numFmtId="0" fontId="1" fillId="2" borderId="0" xfId="3" applyFont="1" applyFill="1" applyAlignment="1">
      <alignment horizontal="right"/>
    </xf>
    <xf numFmtId="0" fontId="6" fillId="2" borderId="4" xfId="3" applyFont="1" applyFill="1" applyBorder="1"/>
    <xf numFmtId="0" fontId="2" fillId="2" borderId="0" xfId="3" applyFont="1" applyFill="1" applyAlignment="1">
      <alignment horizontal="left" wrapText="1"/>
    </xf>
    <xf numFmtId="166" fontId="2" fillId="2" borderId="0" xfId="3" applyNumberFormat="1" applyFont="1" applyFill="1" applyAlignment="1">
      <alignment horizontal="center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25" fillId="2" borderId="0" xfId="3" applyFont="1" applyFill="1" applyAlignment="1">
      <alignment horizontal="center"/>
    </xf>
    <xf numFmtId="0" fontId="25" fillId="2" borderId="0" xfId="3" applyFont="1" applyFill="1" applyAlignment="1">
      <alignment horizontal="left"/>
    </xf>
    <xf numFmtId="164" fontId="1" fillId="2" borderId="19" xfId="3" applyNumberFormat="1" applyFont="1" applyFill="1" applyBorder="1" applyAlignment="1">
      <alignment horizontal="center"/>
    </xf>
    <xf numFmtId="164" fontId="1" fillId="2" borderId="56" xfId="3" applyNumberFormat="1" applyFont="1" applyFill="1" applyBorder="1" applyAlignment="1">
      <alignment horizontal="center"/>
    </xf>
    <xf numFmtId="0" fontId="1" fillId="2" borderId="19" xfId="3" applyFont="1" applyFill="1" applyBorder="1" applyAlignment="1">
      <alignment horizontal="center"/>
    </xf>
    <xf numFmtId="0" fontId="1" fillId="2" borderId="56" xfId="3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 wrapText="1"/>
    </xf>
    <xf numFmtId="0" fontId="2" fillId="2" borderId="42" xfId="3" applyFont="1" applyFill="1" applyBorder="1" applyAlignment="1">
      <alignment horizontal="center"/>
    </xf>
    <xf numFmtId="2" fontId="2" fillId="3" borderId="26" xfId="3" applyNumberFormat="1" applyFont="1" applyFill="1" applyBorder="1" applyAlignment="1" applyProtection="1">
      <alignment horizontal="center"/>
      <protection locked="0"/>
    </xf>
    <xf numFmtId="2" fontId="2" fillId="3" borderId="42" xfId="3" applyNumberFormat="1" applyFont="1" applyFill="1" applyBorder="1" applyAlignment="1" applyProtection="1">
      <alignment horizontal="center"/>
      <protection locked="0"/>
    </xf>
    <xf numFmtId="2" fontId="2" fillId="2" borderId="42" xfId="3" applyNumberFormat="1" applyFont="1" applyFill="1" applyBorder="1" applyAlignment="1">
      <alignment horizontal="center"/>
    </xf>
    <xf numFmtId="10" fontId="2" fillId="2" borderId="51" xfId="3" applyNumberFormat="1" applyFont="1" applyFill="1" applyBorder="1" applyAlignment="1">
      <alignment horizontal="center"/>
    </xf>
    <xf numFmtId="0" fontId="2" fillId="2" borderId="36" xfId="3" applyFont="1" applyFill="1" applyBorder="1" applyAlignment="1">
      <alignment horizontal="center"/>
    </xf>
    <xf numFmtId="2" fontId="2" fillId="3" borderId="51" xfId="3" applyNumberFormat="1" applyFont="1" applyFill="1" applyBorder="1" applyAlignment="1" applyProtection="1">
      <alignment horizontal="center"/>
      <protection locked="0"/>
    </xf>
    <xf numFmtId="2" fontId="2" fillId="3" borderId="36" xfId="3" applyNumberFormat="1" applyFont="1" applyFill="1" applyBorder="1" applyAlignment="1" applyProtection="1">
      <alignment horizontal="center"/>
      <protection locked="0"/>
    </xf>
    <xf numFmtId="2" fontId="2" fillId="2" borderId="36" xfId="3" applyNumberFormat="1" applyFont="1" applyFill="1" applyBorder="1" applyAlignment="1">
      <alignment horizontal="center"/>
    </xf>
    <xf numFmtId="2" fontId="2" fillId="3" borderId="51" xfId="3" applyNumberFormat="1" applyFont="1" applyFill="1" applyBorder="1" applyAlignment="1" applyProtection="1">
      <alignment horizontal="center" wrapText="1"/>
      <protection locked="0"/>
    </xf>
    <xf numFmtId="170" fontId="2" fillId="2" borderId="0" xfId="3" applyNumberFormat="1" applyFont="1" applyFill="1" applyAlignment="1">
      <alignment horizontal="center"/>
    </xf>
    <xf numFmtId="170" fontId="26" fillId="2" borderId="0" xfId="3" applyNumberFormat="1" applyFont="1" applyFill="1" applyAlignment="1">
      <alignment horizontal="center"/>
    </xf>
    <xf numFmtId="10" fontId="26" fillId="2" borderId="0" xfId="3" applyNumberFormat="1" applyFont="1" applyFill="1" applyAlignment="1">
      <alignment horizontal="center"/>
    </xf>
    <xf numFmtId="164" fontId="26" fillId="2" borderId="0" xfId="3" applyNumberFormat="1" applyFont="1" applyFill="1" applyAlignment="1">
      <alignment horizontal="center"/>
    </xf>
    <xf numFmtId="2" fontId="23" fillId="2" borderId="0" xfId="3" applyNumberFormat="1" applyFill="1" applyAlignment="1">
      <alignment horizontal="center"/>
    </xf>
    <xf numFmtId="164" fontId="23" fillId="2" borderId="0" xfId="3" applyNumberFormat="1" applyFill="1"/>
    <xf numFmtId="10" fontId="23" fillId="2" borderId="0" xfId="3" applyNumberFormat="1" applyFill="1"/>
    <xf numFmtId="2" fontId="23" fillId="2" borderId="0" xfId="3" applyNumberFormat="1" applyFill="1"/>
    <xf numFmtId="0" fontId="23" fillId="2" borderId="0" xfId="3" applyFill="1" applyAlignment="1">
      <alignment horizontal="right"/>
    </xf>
    <xf numFmtId="1" fontId="2" fillId="2" borderId="37" xfId="3" applyNumberFormat="1" applyFont="1" applyFill="1" applyBorder="1" applyAlignment="1">
      <alignment horizontal="center"/>
    </xf>
    <xf numFmtId="2" fontId="2" fillId="3" borderId="43" xfId="3" applyNumberFormat="1" applyFont="1" applyFill="1" applyBorder="1" applyAlignment="1" applyProtection="1">
      <alignment horizontal="center" wrapText="1"/>
      <protection locked="0"/>
    </xf>
    <xf numFmtId="2" fontId="2" fillId="3" borderId="37" xfId="3" applyNumberFormat="1" applyFont="1" applyFill="1" applyBorder="1" applyAlignment="1" applyProtection="1">
      <alignment horizontal="center"/>
      <protection locked="0"/>
    </xf>
    <xf numFmtId="2" fontId="2" fillId="2" borderId="37" xfId="3" applyNumberFormat="1" applyFont="1" applyFill="1" applyBorder="1" applyAlignment="1">
      <alignment horizontal="center"/>
    </xf>
    <xf numFmtId="10" fontId="2" fillId="2" borderId="43" xfId="3" applyNumberFormat="1" applyFont="1" applyFill="1" applyBorder="1" applyAlignment="1">
      <alignment horizontal="center"/>
    </xf>
    <xf numFmtId="0" fontId="2" fillId="2" borderId="44" xfId="3" applyFont="1" applyFill="1" applyBorder="1" applyAlignment="1">
      <alignment horizontal="right"/>
    </xf>
    <xf numFmtId="170" fontId="2" fillId="2" borderId="48" xfId="3" applyNumberFormat="1" applyFont="1" applyFill="1" applyBorder="1" applyAlignment="1">
      <alignment horizontal="center"/>
    </xf>
    <xf numFmtId="170" fontId="2" fillId="2" borderId="59" xfId="3" applyNumberFormat="1" applyFont="1" applyFill="1" applyBorder="1" applyAlignment="1">
      <alignment horizontal="center"/>
    </xf>
    <xf numFmtId="170" fontId="2" fillId="2" borderId="49" xfId="3" applyNumberFormat="1" applyFont="1" applyFill="1" applyBorder="1" applyAlignment="1">
      <alignment horizontal="center"/>
    </xf>
    <xf numFmtId="0" fontId="2" fillId="2" borderId="66" xfId="3" applyFont="1" applyFill="1" applyBorder="1" applyAlignment="1">
      <alignment horizontal="right"/>
    </xf>
    <xf numFmtId="170" fontId="1" fillId="2" borderId="31" xfId="3" applyNumberFormat="1" applyFont="1" applyFill="1" applyBorder="1" applyAlignment="1">
      <alignment horizontal="center"/>
    </xf>
    <xf numFmtId="170" fontId="1" fillId="2" borderId="67" xfId="3" applyNumberFormat="1" applyFont="1" applyFill="1" applyBorder="1" applyAlignment="1">
      <alignment horizontal="center"/>
    </xf>
    <xf numFmtId="170" fontId="1" fillId="2" borderId="62" xfId="3" applyNumberFormat="1" applyFont="1" applyFill="1" applyBorder="1" applyAlignment="1">
      <alignment horizontal="center"/>
    </xf>
    <xf numFmtId="164" fontId="2" fillId="2" borderId="0" xfId="3" applyNumberFormat="1" applyFont="1" applyFill="1"/>
    <xf numFmtId="0" fontId="1" fillId="2" borderId="19" xfId="3" applyFont="1" applyFill="1" applyBorder="1" applyAlignment="1">
      <alignment horizontal="center" vertical="center"/>
    </xf>
    <xf numFmtId="0" fontId="1" fillId="2" borderId="19" xfId="3" applyFont="1" applyFill="1" applyBorder="1" applyAlignment="1">
      <alignment horizontal="center" wrapText="1"/>
    </xf>
    <xf numFmtId="168" fontId="1" fillId="2" borderId="23" xfId="3" applyNumberFormat="1" applyFont="1" applyFill="1" applyBorder="1" applyAlignment="1">
      <alignment horizontal="center" vertical="center"/>
    </xf>
    <xf numFmtId="165" fontId="1" fillId="2" borderId="35" xfId="3" applyNumberFormat="1" applyFont="1" applyFill="1" applyBorder="1" applyAlignment="1">
      <alignment horizontal="center"/>
    </xf>
    <xf numFmtId="175" fontId="1" fillId="2" borderId="52" xfId="3" applyNumberFormat="1" applyFont="1" applyFill="1" applyBorder="1" applyAlignment="1">
      <alignment horizontal="center" vertical="center"/>
    </xf>
    <xf numFmtId="168" fontId="1" fillId="2" borderId="30" xfId="3" applyNumberFormat="1" applyFont="1" applyFill="1" applyBorder="1" applyAlignment="1">
      <alignment horizontal="center" vertical="center"/>
    </xf>
    <xf numFmtId="165" fontId="1" fillId="2" borderId="37" xfId="3" applyNumberFormat="1" applyFont="1" applyFill="1" applyBorder="1" applyAlignment="1">
      <alignment horizontal="center"/>
    </xf>
    <xf numFmtId="0" fontId="2" fillId="2" borderId="9" xfId="3" applyFont="1" applyFill="1" applyBorder="1"/>
    <xf numFmtId="0" fontId="2" fillId="2" borderId="0" xfId="3" applyFont="1" applyFill="1" applyAlignment="1">
      <alignment horizontal="right"/>
    </xf>
    <xf numFmtId="10" fontId="2" fillId="2" borderId="55" xfId="3" applyNumberFormat="1" applyFont="1" applyFill="1" applyBorder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23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2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26" t="s">
        <v>0</v>
      </c>
      <c r="B15" s="426"/>
      <c r="C15" s="426"/>
      <c r="D15" s="426"/>
      <c r="E15" s="42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149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98.7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10.34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10.34/25*3/25</f>
        <v>4.9631999999999996E-2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1821403</v>
      </c>
      <c r="C24" s="18">
        <v>5144.6000000000004</v>
      </c>
      <c r="D24" s="19">
        <v>1</v>
      </c>
      <c r="E24" s="20">
        <v>9.5</v>
      </c>
    </row>
    <row r="25" spans="1:6" ht="16.5" customHeight="1" x14ac:dyDescent="0.3">
      <c r="A25" s="17">
        <v>2</v>
      </c>
      <c r="B25" s="18">
        <v>1819012</v>
      </c>
      <c r="C25" s="18">
        <v>5165.5</v>
      </c>
      <c r="D25" s="19">
        <v>1</v>
      </c>
      <c r="E25" s="19">
        <v>9.5</v>
      </c>
    </row>
    <row r="26" spans="1:6" ht="16.5" customHeight="1" x14ac:dyDescent="0.3">
      <c r="A26" s="17">
        <v>3</v>
      </c>
      <c r="B26" s="18">
        <v>1828089</v>
      </c>
      <c r="C26" s="18">
        <v>5129.2</v>
      </c>
      <c r="D26" s="19">
        <v>1</v>
      </c>
      <c r="E26" s="19">
        <v>9.5</v>
      </c>
    </row>
    <row r="27" spans="1:6" ht="16.5" customHeight="1" x14ac:dyDescent="0.3">
      <c r="A27" s="17">
        <v>4</v>
      </c>
      <c r="B27" s="18">
        <v>1819225</v>
      </c>
      <c r="C27" s="18">
        <v>5126.8</v>
      </c>
      <c r="D27" s="19">
        <v>1</v>
      </c>
      <c r="E27" s="19">
        <v>9.5</v>
      </c>
    </row>
    <row r="28" spans="1:6" ht="16.5" customHeight="1" x14ac:dyDescent="0.3">
      <c r="A28" s="17">
        <v>5</v>
      </c>
      <c r="B28" s="18">
        <v>1817149</v>
      </c>
      <c r="C28" s="18">
        <v>5135.1000000000004</v>
      </c>
      <c r="D28" s="19">
        <v>1</v>
      </c>
      <c r="E28" s="19">
        <v>9.5</v>
      </c>
    </row>
    <row r="29" spans="1:6" ht="16.5" customHeight="1" x14ac:dyDescent="0.3">
      <c r="A29" s="17">
        <v>6</v>
      </c>
      <c r="B29" s="21">
        <v>1827060</v>
      </c>
      <c r="C29" s="21">
        <v>5152.1000000000004</v>
      </c>
      <c r="D29" s="22">
        <v>1</v>
      </c>
      <c r="E29" s="22">
        <v>9.5</v>
      </c>
    </row>
    <row r="30" spans="1:6" ht="16.5" customHeight="1" x14ac:dyDescent="0.3">
      <c r="A30" s="23" t="s">
        <v>18</v>
      </c>
      <c r="B30" s="24">
        <f>AVERAGE(B24:B29)</f>
        <v>1821989.6666666667</v>
      </c>
      <c r="C30" s="25">
        <f>AVERAGE(C24:C29)</f>
        <v>5142.2166666666662</v>
      </c>
      <c r="D30" s="26">
        <f>AVERAGE(D24:D29)</f>
        <v>1</v>
      </c>
      <c r="E30" s="26">
        <f>AVERAGE(E24:E29)</f>
        <v>9.5</v>
      </c>
    </row>
    <row r="31" spans="1:6" ht="16.5" customHeight="1" x14ac:dyDescent="0.3">
      <c r="A31" s="27" t="s">
        <v>19</v>
      </c>
      <c r="B31" s="28">
        <f>(STDEV(B24:B29)/B30)</f>
        <v>2.4934523077574191E-3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150</v>
      </c>
    </row>
    <row r="39" spans="1:6" ht="16.5" customHeight="1" x14ac:dyDescent="0.3">
      <c r="A39" s="11" t="s">
        <v>4</v>
      </c>
      <c r="B39" s="8" t="s">
        <v>149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98.7</v>
      </c>
      <c r="C40" s="10"/>
      <c r="D40" s="10"/>
      <c r="E40" s="10"/>
    </row>
    <row r="41" spans="1:6" ht="16.5" customHeight="1" x14ac:dyDescent="0.3">
      <c r="A41" s="7" t="s">
        <v>8</v>
      </c>
      <c r="B41" s="12">
        <f>10.34</f>
        <v>10.34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B41/25*3/25</f>
        <v>4.9631999999999996E-2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1824651</v>
      </c>
      <c r="C45" s="18">
        <v>5281</v>
      </c>
      <c r="D45" s="19">
        <v>1</v>
      </c>
      <c r="E45" s="20">
        <v>8.9</v>
      </c>
    </row>
    <row r="46" spans="1:6" ht="16.5" customHeight="1" x14ac:dyDescent="0.3">
      <c r="A46" s="17">
        <v>2</v>
      </c>
      <c r="B46" s="18">
        <v>1825660</v>
      </c>
      <c r="C46" s="18">
        <v>5359.2</v>
      </c>
      <c r="D46" s="19">
        <v>1</v>
      </c>
      <c r="E46" s="19">
        <v>8.9</v>
      </c>
    </row>
    <row r="47" spans="1:6" ht="16.5" customHeight="1" x14ac:dyDescent="0.3">
      <c r="A47" s="17">
        <v>3</v>
      </c>
      <c r="B47" s="18">
        <v>1833930</v>
      </c>
      <c r="C47" s="18">
        <v>5342.6</v>
      </c>
      <c r="D47" s="19">
        <v>1</v>
      </c>
      <c r="E47" s="19">
        <v>8.9</v>
      </c>
    </row>
    <row r="48" spans="1:6" ht="16.5" customHeight="1" x14ac:dyDescent="0.3">
      <c r="A48" s="17">
        <v>4</v>
      </c>
      <c r="B48" s="18">
        <v>1838405</v>
      </c>
      <c r="C48" s="18">
        <v>5344.6</v>
      </c>
      <c r="D48" s="19">
        <v>1</v>
      </c>
      <c r="E48" s="19">
        <v>8.9</v>
      </c>
    </row>
    <row r="49" spans="1:7" ht="16.5" customHeight="1" x14ac:dyDescent="0.3">
      <c r="A49" s="17">
        <v>5</v>
      </c>
      <c r="B49" s="18">
        <v>1833556</v>
      </c>
      <c r="C49" s="18">
        <v>5371</v>
      </c>
      <c r="D49" s="19">
        <v>1</v>
      </c>
      <c r="E49" s="19">
        <v>9</v>
      </c>
    </row>
    <row r="50" spans="1:7" ht="16.5" customHeight="1" x14ac:dyDescent="0.3">
      <c r="A50" s="17">
        <v>6</v>
      </c>
      <c r="B50" s="21">
        <v>1837895</v>
      </c>
      <c r="C50" s="21">
        <v>5339.9</v>
      </c>
      <c r="D50" s="22">
        <v>1</v>
      </c>
      <c r="E50" s="22">
        <v>8.9</v>
      </c>
    </row>
    <row r="51" spans="1:7" ht="16.5" customHeight="1" x14ac:dyDescent="0.3">
      <c r="A51" s="23" t="s">
        <v>18</v>
      </c>
      <c r="B51" s="24">
        <f>AVERAGE(B45:B50)</f>
        <v>1832349.5</v>
      </c>
      <c r="C51" s="25">
        <f>AVERAGE(C45:C50)</f>
        <v>5339.7166666666672</v>
      </c>
      <c r="D51" s="26">
        <f>AVERAGE(D45:D50)</f>
        <v>1</v>
      </c>
      <c r="E51" s="26">
        <f>AVERAGE(E45:E50)</f>
        <v>8.9166666666666661</v>
      </c>
    </row>
    <row r="52" spans="1:7" ht="16.5" customHeight="1" x14ac:dyDescent="0.3">
      <c r="A52" s="27" t="s">
        <v>19</v>
      </c>
      <c r="B52" s="28">
        <f>(STDEV(B45:B50)/B51)</f>
        <v>3.2322955241576427E-3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27" t="s">
        <v>25</v>
      </c>
      <c r="C59" s="42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C41" sqref="C41"/>
    </sheetView>
  </sheetViews>
  <sheetFormatPr defaultColWidth="9.140625" defaultRowHeight="16.5" x14ac:dyDescent="0.3"/>
  <cols>
    <col min="1" max="1" width="13.140625" style="485" customWidth="1"/>
    <col min="2" max="2" width="17.85546875" style="534" customWidth="1"/>
    <col min="3" max="3" width="18.85546875" style="485" customWidth="1"/>
    <col min="4" max="4" width="19.7109375" style="482" customWidth="1"/>
    <col min="5" max="5" width="18.42578125" style="485" customWidth="1"/>
    <col min="6" max="6" width="6.42578125" style="476" customWidth="1"/>
    <col min="7" max="7" width="17.140625" style="476" customWidth="1"/>
    <col min="8" max="8" width="13.140625" style="476" customWidth="1"/>
    <col min="9" max="9" width="11" style="476" customWidth="1"/>
    <col min="10" max="10" width="15" style="476" customWidth="1"/>
    <col min="11" max="11" width="7.5703125" style="476" customWidth="1"/>
    <col min="12" max="12" width="13.140625" style="476" customWidth="1"/>
    <col min="13" max="13" width="11" style="476" customWidth="1"/>
    <col min="14" max="14" width="12.28515625" style="476" customWidth="1"/>
    <col min="15" max="15" width="6.5703125" style="476" customWidth="1"/>
    <col min="16" max="16" width="9.140625" style="476"/>
    <col min="17" max="16384" width="9.140625" style="543"/>
  </cols>
  <sheetData>
    <row r="1" spans="1:15" ht="15" x14ac:dyDescent="0.3">
      <c r="A1" s="471"/>
      <c r="B1" s="472"/>
      <c r="C1" s="471"/>
      <c r="D1" s="473"/>
      <c r="E1" s="474"/>
      <c r="F1" s="472"/>
      <c r="G1" s="474"/>
      <c r="H1" s="474"/>
      <c r="I1" s="472"/>
      <c r="J1" s="474"/>
      <c r="K1" s="475"/>
      <c r="L1" s="474"/>
      <c r="M1" s="472"/>
      <c r="N1" s="474"/>
      <c r="O1" s="472"/>
    </row>
    <row r="2" spans="1:15" ht="15" x14ac:dyDescent="0.3">
      <c r="A2" s="471"/>
      <c r="B2" s="472"/>
      <c r="C2" s="471"/>
      <c r="D2" s="473"/>
      <c r="E2" s="477"/>
      <c r="F2" s="472"/>
      <c r="G2" s="477"/>
      <c r="H2" s="477"/>
      <c r="I2" s="472"/>
      <c r="J2" s="477"/>
      <c r="K2" s="475"/>
      <c r="L2" s="477"/>
      <c r="M2" s="475"/>
      <c r="N2" s="477"/>
      <c r="O2" s="475"/>
    </row>
    <row r="3" spans="1:15" ht="15" x14ac:dyDescent="0.3">
      <c r="A3" s="471"/>
      <c r="B3" s="472"/>
      <c r="C3" s="471"/>
      <c r="D3" s="473"/>
      <c r="E3" s="477"/>
      <c r="F3" s="472"/>
      <c r="G3" s="477"/>
      <c r="H3" s="477"/>
      <c r="I3" s="472"/>
      <c r="J3" s="477"/>
      <c r="K3" s="475"/>
      <c r="L3" s="477"/>
      <c r="M3" s="475"/>
      <c r="N3" s="477"/>
      <c r="O3" s="475"/>
    </row>
    <row r="4" spans="1:15" ht="15" x14ac:dyDescent="0.3">
      <c r="A4" s="471"/>
      <c r="B4" s="472"/>
      <c r="C4" s="471"/>
      <c r="D4" s="473"/>
      <c r="E4" s="477"/>
      <c r="F4" s="472"/>
      <c r="G4" s="477"/>
      <c r="H4" s="477"/>
      <c r="I4" s="472"/>
      <c r="J4" s="477"/>
      <c r="K4" s="475"/>
      <c r="L4" s="477"/>
      <c r="M4" s="475"/>
      <c r="N4" s="477"/>
      <c r="O4" s="475"/>
    </row>
    <row r="5" spans="1:15" ht="15" x14ac:dyDescent="0.3">
      <c r="A5" s="471"/>
      <c r="B5" s="472"/>
      <c r="C5" s="471"/>
      <c r="D5" s="473"/>
      <c r="E5" s="477"/>
      <c r="F5" s="472"/>
      <c r="G5" s="477"/>
      <c r="H5" s="477"/>
      <c r="I5" s="472"/>
      <c r="J5" s="477"/>
      <c r="K5" s="475"/>
      <c r="L5" s="477"/>
      <c r="M5" s="475"/>
      <c r="N5" s="477"/>
      <c r="O5" s="475"/>
    </row>
    <row r="6" spans="1:15" ht="15" x14ac:dyDescent="0.3">
      <c r="A6" s="471"/>
      <c r="B6" s="472"/>
      <c r="C6" s="471"/>
      <c r="D6" s="473"/>
      <c r="E6" s="477"/>
      <c r="F6" s="472"/>
      <c r="G6" s="477"/>
      <c r="H6" s="477"/>
      <c r="I6" s="472"/>
      <c r="J6" s="477"/>
      <c r="K6" s="475"/>
      <c r="L6" s="477"/>
      <c r="M6" s="475"/>
      <c r="N6" s="477"/>
      <c r="O6" s="475"/>
    </row>
    <row r="7" spans="1:15" ht="15" x14ac:dyDescent="0.3">
      <c r="A7" s="471"/>
      <c r="B7" s="472"/>
      <c r="C7" s="471"/>
      <c r="D7" s="473"/>
      <c r="E7" s="477"/>
      <c r="F7" s="472"/>
      <c r="G7" s="477"/>
      <c r="H7" s="477"/>
      <c r="I7" s="472"/>
      <c r="J7" s="477"/>
      <c r="K7" s="475"/>
      <c r="L7" s="477"/>
      <c r="M7" s="475"/>
      <c r="N7" s="477"/>
      <c r="O7" s="475"/>
    </row>
    <row r="8" spans="1:15" ht="19.5" customHeight="1" x14ac:dyDescent="0.3">
      <c r="A8" s="478" t="s">
        <v>32</v>
      </c>
      <c r="B8" s="478"/>
      <c r="C8" s="478"/>
      <c r="D8" s="478"/>
      <c r="E8" s="478"/>
      <c r="F8" s="478"/>
      <c r="G8" s="478"/>
      <c r="H8" s="477"/>
      <c r="I8" s="472"/>
      <c r="J8" s="477"/>
      <c r="K8" s="475"/>
      <c r="L8" s="477"/>
      <c r="M8" s="475"/>
      <c r="N8" s="477"/>
      <c r="O8" s="475"/>
    </row>
    <row r="9" spans="1:15" ht="19.5" customHeight="1" x14ac:dyDescent="0.3">
      <c r="A9" s="479"/>
      <c r="B9" s="479"/>
      <c r="C9" s="479"/>
      <c r="D9" s="479"/>
      <c r="E9" s="479"/>
      <c r="F9" s="479"/>
      <c r="G9" s="479"/>
      <c r="H9" s="477"/>
      <c r="I9" s="472"/>
      <c r="J9" s="477"/>
      <c r="K9" s="475"/>
      <c r="L9" s="477"/>
      <c r="M9" s="475"/>
      <c r="N9" s="477"/>
      <c r="O9" s="475"/>
    </row>
    <row r="10" spans="1:15" ht="16.5" customHeight="1" x14ac:dyDescent="0.3">
      <c r="A10" s="480" t="s">
        <v>151</v>
      </c>
      <c r="B10" s="480"/>
      <c r="C10" s="480"/>
      <c r="D10" s="480"/>
      <c r="E10" s="480"/>
      <c r="F10" s="480"/>
      <c r="G10" s="480"/>
      <c r="H10" s="477"/>
      <c r="I10" s="472"/>
      <c r="J10" s="477"/>
      <c r="K10" s="475"/>
      <c r="L10" s="477"/>
      <c r="M10" s="475"/>
      <c r="N10" s="477"/>
      <c r="O10" s="475"/>
    </row>
    <row r="11" spans="1:15" ht="15" customHeight="1" x14ac:dyDescent="0.3">
      <c r="A11" s="481" t="s">
        <v>34</v>
      </c>
      <c r="B11" s="481"/>
      <c r="C11" s="471" t="s">
        <v>152</v>
      </c>
      <c r="E11" s="477"/>
      <c r="F11" s="472"/>
      <c r="G11" s="477"/>
      <c r="H11" s="477"/>
      <c r="I11" s="472"/>
      <c r="J11" s="477"/>
      <c r="K11" s="475"/>
      <c r="L11" s="477"/>
      <c r="M11" s="475"/>
      <c r="N11" s="477"/>
      <c r="O11" s="475"/>
    </row>
    <row r="12" spans="1:15" ht="15" customHeight="1" x14ac:dyDescent="0.3">
      <c r="A12" s="481" t="s">
        <v>35</v>
      </c>
      <c r="B12" s="481"/>
      <c r="C12" s="471" t="s">
        <v>153</v>
      </c>
      <c r="E12" s="477"/>
      <c r="F12" s="472"/>
      <c r="G12" s="477"/>
      <c r="H12" s="477"/>
      <c r="I12" s="472"/>
      <c r="J12" s="477"/>
      <c r="K12" s="475"/>
      <c r="L12" s="477"/>
      <c r="M12" s="475"/>
      <c r="N12" s="477"/>
      <c r="O12" s="475"/>
    </row>
    <row r="13" spans="1:15" ht="15" customHeight="1" x14ac:dyDescent="0.3">
      <c r="A13" s="481" t="s">
        <v>36</v>
      </c>
      <c r="B13" s="481"/>
      <c r="C13" s="471" t="s">
        <v>154</v>
      </c>
      <c r="E13" s="477"/>
      <c r="F13" s="472"/>
      <c r="G13" s="477"/>
      <c r="H13" s="477"/>
      <c r="I13" s="472"/>
      <c r="J13" s="477"/>
      <c r="K13" s="475"/>
      <c r="L13" s="477"/>
      <c r="M13" s="475"/>
      <c r="N13" s="477"/>
      <c r="O13" s="475"/>
    </row>
    <row r="14" spans="1:15" ht="15" customHeight="1" x14ac:dyDescent="0.3">
      <c r="A14" s="481" t="s">
        <v>37</v>
      </c>
      <c r="B14" s="481"/>
      <c r="C14" s="483" t="s">
        <v>155</v>
      </c>
      <c r="D14" s="483"/>
      <c r="E14" s="483"/>
      <c r="F14" s="483"/>
      <c r="G14" s="483"/>
      <c r="H14" s="477"/>
      <c r="I14" s="472"/>
      <c r="J14" s="477"/>
      <c r="K14" s="475"/>
      <c r="L14" s="477"/>
      <c r="M14" s="475"/>
      <c r="N14" s="477"/>
      <c r="O14" s="475"/>
    </row>
    <row r="15" spans="1:15" ht="15" customHeight="1" x14ac:dyDescent="0.3">
      <c r="A15" s="481" t="s">
        <v>38</v>
      </c>
      <c r="B15" s="481"/>
      <c r="C15" s="484" t="s">
        <v>156</v>
      </c>
      <c r="D15" s="471"/>
      <c r="E15" s="477"/>
      <c r="F15" s="472"/>
      <c r="G15" s="477"/>
      <c r="H15" s="477"/>
      <c r="I15" s="472"/>
      <c r="J15" s="477"/>
      <c r="K15" s="475"/>
      <c r="L15" s="477"/>
      <c r="M15" s="475"/>
      <c r="N15" s="477"/>
      <c r="O15" s="475"/>
    </row>
    <row r="16" spans="1:15" ht="15" customHeight="1" x14ac:dyDescent="0.3">
      <c r="A16" s="481" t="s">
        <v>39</v>
      </c>
      <c r="B16" s="481"/>
      <c r="C16" s="484" t="s">
        <v>157</v>
      </c>
      <c r="D16" s="471"/>
      <c r="E16" s="477"/>
      <c r="F16" s="472"/>
      <c r="G16" s="477"/>
      <c r="H16" s="477"/>
      <c r="I16" s="472"/>
      <c r="J16" s="477"/>
      <c r="K16" s="475"/>
      <c r="L16" s="477"/>
      <c r="M16" s="475"/>
      <c r="N16" s="477"/>
      <c r="O16" s="475"/>
    </row>
    <row r="17" spans="1:15" x14ac:dyDescent="0.3">
      <c r="B17" s="471"/>
      <c r="D17" s="471"/>
      <c r="E17" s="477"/>
      <c r="F17" s="472"/>
      <c r="G17" s="477"/>
      <c r="H17" s="477"/>
      <c r="I17" s="472"/>
      <c r="J17" s="477"/>
      <c r="K17" s="475"/>
      <c r="L17" s="477"/>
      <c r="M17" s="475"/>
      <c r="N17" s="477"/>
      <c r="O17" s="475"/>
    </row>
    <row r="18" spans="1:15" ht="15" customHeight="1" x14ac:dyDescent="0.3">
      <c r="A18" s="486" t="s">
        <v>1</v>
      </c>
      <c r="B18" s="486"/>
      <c r="C18" s="487" t="s">
        <v>158</v>
      </c>
      <c r="D18" s="471"/>
      <c r="E18" s="477"/>
      <c r="F18" s="472"/>
      <c r="G18" s="477"/>
      <c r="H18" s="477"/>
      <c r="I18" s="472"/>
      <c r="J18" s="477"/>
      <c r="K18" s="475"/>
      <c r="L18" s="477"/>
      <c r="M18" s="475"/>
      <c r="N18" s="477"/>
      <c r="O18" s="475"/>
    </row>
    <row r="19" spans="1:15" ht="15.75" customHeight="1" thickBot="1" x14ac:dyDescent="0.35">
      <c r="A19" s="476"/>
      <c r="B19" s="471"/>
      <c r="D19" s="471"/>
      <c r="E19" s="477"/>
      <c r="F19" s="472"/>
      <c r="G19" s="477"/>
      <c r="H19" s="477"/>
      <c r="I19" s="472"/>
      <c r="J19" s="477"/>
      <c r="K19" s="475"/>
      <c r="L19" s="477"/>
      <c r="M19" s="475"/>
      <c r="N19" s="477"/>
      <c r="O19" s="475"/>
    </row>
    <row r="20" spans="1:15" ht="15.75" customHeight="1" thickBot="1" x14ac:dyDescent="0.35">
      <c r="A20" s="488" t="s">
        <v>159</v>
      </c>
      <c r="B20" s="489" t="s">
        <v>160</v>
      </c>
      <c r="C20" s="490" t="s">
        <v>161</v>
      </c>
      <c r="D20" s="488" t="s">
        <v>162</v>
      </c>
      <c r="E20" s="491" t="s">
        <v>163</v>
      </c>
      <c r="G20" s="477"/>
      <c r="H20" s="492"/>
      <c r="I20" s="472"/>
      <c r="J20" s="477"/>
      <c r="K20" s="475"/>
      <c r="L20" s="492"/>
      <c r="M20" s="475"/>
      <c r="N20" s="492"/>
      <c r="O20" s="475"/>
    </row>
    <row r="21" spans="1:15" ht="15" x14ac:dyDescent="0.3">
      <c r="A21" s="493">
        <v>1</v>
      </c>
      <c r="B21" s="494">
        <v>248.27</v>
      </c>
      <c r="C21" s="495">
        <v>63.59</v>
      </c>
      <c r="D21" s="496">
        <f t="shared" ref="D21:D40" si="0">B21-C21</f>
        <v>184.68</v>
      </c>
      <c r="E21" s="497">
        <f t="shared" ref="E21:E40" si="1">(D21-$D$43)/$D$43</f>
        <v>6.4360023760349659E-3</v>
      </c>
      <c r="G21" s="477"/>
      <c r="H21" s="492"/>
      <c r="I21" s="472"/>
      <c r="J21" s="477"/>
      <c r="K21" s="475"/>
      <c r="L21" s="492"/>
      <c r="M21" s="475"/>
      <c r="N21" s="492"/>
      <c r="O21" s="475"/>
    </row>
    <row r="22" spans="1:15" ht="15" x14ac:dyDescent="0.3">
      <c r="A22" s="498">
        <v>2</v>
      </c>
      <c r="B22" s="499">
        <v>239.63</v>
      </c>
      <c r="C22" s="500">
        <v>59.89</v>
      </c>
      <c r="D22" s="501">
        <f t="shared" si="0"/>
        <v>179.74</v>
      </c>
      <c r="E22" s="497">
        <f t="shared" si="1"/>
        <v>-2.0485125259537971E-2</v>
      </c>
      <c r="G22" s="477"/>
      <c r="H22" s="492"/>
      <c r="I22" s="472"/>
      <c r="J22" s="477"/>
      <c r="K22" s="475"/>
      <c r="L22" s="492"/>
      <c r="M22" s="475"/>
      <c r="N22" s="492"/>
      <c r="O22" s="475"/>
    </row>
    <row r="23" spans="1:15" ht="15" x14ac:dyDescent="0.3">
      <c r="A23" s="498">
        <v>3</v>
      </c>
      <c r="B23" s="499">
        <v>244.06</v>
      </c>
      <c r="C23" s="500">
        <v>59.61</v>
      </c>
      <c r="D23" s="501">
        <f t="shared" si="0"/>
        <v>184.45</v>
      </c>
      <c r="E23" s="497">
        <f t="shared" si="1"/>
        <v>5.1825895508968546E-3</v>
      </c>
      <c r="G23" s="477"/>
      <c r="H23" s="492"/>
      <c r="I23" s="472"/>
      <c r="J23" s="477"/>
      <c r="K23" s="475"/>
      <c r="L23" s="492"/>
      <c r="M23" s="475"/>
      <c r="N23" s="492"/>
      <c r="O23" s="475"/>
    </row>
    <row r="24" spans="1:15" ht="15" x14ac:dyDescent="0.3">
      <c r="A24" s="498">
        <v>4</v>
      </c>
      <c r="B24" s="499">
        <v>248.51</v>
      </c>
      <c r="C24" s="500">
        <v>62.6</v>
      </c>
      <c r="D24" s="501">
        <f t="shared" si="0"/>
        <v>185.91</v>
      </c>
      <c r="E24" s="497">
        <f t="shared" si="1"/>
        <v>1.3139036180033844E-2</v>
      </c>
      <c r="G24" s="477"/>
      <c r="H24" s="492"/>
      <c r="I24" s="472"/>
      <c r="J24" s="477"/>
      <c r="K24" s="475"/>
      <c r="L24" s="492"/>
      <c r="M24" s="475"/>
      <c r="N24" s="492"/>
      <c r="O24" s="475"/>
    </row>
    <row r="25" spans="1:15" ht="15" x14ac:dyDescent="0.3">
      <c r="A25" s="498">
        <v>5</v>
      </c>
      <c r="B25" s="499">
        <v>232.98</v>
      </c>
      <c r="C25" s="500">
        <v>59.93</v>
      </c>
      <c r="D25" s="501">
        <f t="shared" si="0"/>
        <v>173.04999999999998</v>
      </c>
      <c r="E25" s="497">
        <f t="shared" si="1"/>
        <v>-5.6943089608117677E-2</v>
      </c>
      <c r="G25" s="477"/>
      <c r="H25" s="492"/>
      <c r="I25" s="472"/>
      <c r="J25" s="477"/>
      <c r="K25" s="475"/>
      <c r="L25" s="492"/>
      <c r="M25" s="475"/>
      <c r="N25" s="492"/>
      <c r="O25" s="475"/>
    </row>
    <row r="26" spans="1:15" ht="15" x14ac:dyDescent="0.3">
      <c r="A26" s="498">
        <v>6</v>
      </c>
      <c r="B26" s="499">
        <v>242.54</v>
      </c>
      <c r="C26" s="500">
        <v>63.32</v>
      </c>
      <c r="D26" s="501">
        <f t="shared" si="0"/>
        <v>179.22</v>
      </c>
      <c r="E26" s="497">
        <f t="shared" si="1"/>
        <v>-2.3318928168545708E-2</v>
      </c>
      <c r="G26" s="477"/>
      <c r="H26" s="492"/>
      <c r="I26" s="472"/>
      <c r="J26" s="477"/>
      <c r="K26" s="475"/>
      <c r="L26" s="492"/>
      <c r="M26" s="475"/>
      <c r="N26" s="492"/>
      <c r="O26" s="475"/>
    </row>
    <row r="27" spans="1:15" ht="15" x14ac:dyDescent="0.3">
      <c r="A27" s="498">
        <v>7</v>
      </c>
      <c r="B27" s="499">
        <v>258.29000000000002</v>
      </c>
      <c r="C27" s="500">
        <v>62.02</v>
      </c>
      <c r="D27" s="501">
        <f t="shared" si="0"/>
        <v>196.27</v>
      </c>
      <c r="E27" s="497">
        <f t="shared" si="1"/>
        <v>6.9597109521033068E-2</v>
      </c>
      <c r="G27" s="477"/>
      <c r="H27" s="492"/>
      <c r="I27" s="472"/>
      <c r="J27" s="477"/>
      <c r="K27" s="475"/>
      <c r="L27" s="492"/>
      <c r="M27" s="475"/>
      <c r="N27" s="492"/>
      <c r="O27" s="475"/>
    </row>
    <row r="28" spans="1:15" ht="15" x14ac:dyDescent="0.3">
      <c r="A28" s="498">
        <v>8</v>
      </c>
      <c r="B28" s="499">
        <v>248.21</v>
      </c>
      <c r="C28" s="500">
        <v>63.04</v>
      </c>
      <c r="D28" s="501">
        <f t="shared" si="0"/>
        <v>185.17000000000002</v>
      </c>
      <c r="E28" s="497">
        <f t="shared" si="1"/>
        <v>9.1063166556768667E-3</v>
      </c>
      <c r="G28" s="477"/>
      <c r="H28" s="492"/>
      <c r="I28" s="472"/>
      <c r="J28" s="477"/>
      <c r="K28" s="475"/>
      <c r="L28" s="492"/>
      <c r="M28" s="475"/>
      <c r="N28" s="492"/>
      <c r="O28" s="475"/>
    </row>
    <row r="29" spans="1:15" ht="15" x14ac:dyDescent="0.3">
      <c r="A29" s="498">
        <v>9</v>
      </c>
      <c r="B29" s="499">
        <v>245.16</v>
      </c>
      <c r="C29" s="500">
        <v>62.64</v>
      </c>
      <c r="D29" s="501">
        <f t="shared" si="0"/>
        <v>182.51999999999998</v>
      </c>
      <c r="E29" s="497">
        <f t="shared" si="1"/>
        <v>-5.3351789383047597E-3</v>
      </c>
      <c r="G29" s="477"/>
      <c r="H29" s="492"/>
      <c r="I29" s="472"/>
      <c r="J29" s="477"/>
      <c r="K29" s="475"/>
      <c r="L29" s="492"/>
      <c r="M29" s="475"/>
      <c r="N29" s="492"/>
      <c r="O29" s="475"/>
    </row>
    <row r="30" spans="1:15" ht="15" x14ac:dyDescent="0.3">
      <c r="A30" s="498">
        <v>10</v>
      </c>
      <c r="B30" s="502">
        <v>246.87</v>
      </c>
      <c r="C30" s="500">
        <v>63.17</v>
      </c>
      <c r="D30" s="501">
        <f t="shared" si="0"/>
        <v>183.7</v>
      </c>
      <c r="E30" s="497">
        <f t="shared" si="1"/>
        <v>1.0953738167511641E-3</v>
      </c>
      <c r="G30" s="477"/>
      <c r="H30" s="492"/>
      <c r="I30" s="472"/>
      <c r="J30" s="477"/>
      <c r="K30" s="475"/>
      <c r="L30" s="492"/>
      <c r="M30" s="475"/>
      <c r="N30" s="492"/>
      <c r="O30" s="475"/>
    </row>
    <row r="31" spans="1:15" ht="15" x14ac:dyDescent="0.3">
      <c r="A31" s="498">
        <v>11</v>
      </c>
      <c r="B31" s="502">
        <v>245.29</v>
      </c>
      <c r="C31" s="500">
        <v>63.32</v>
      </c>
      <c r="D31" s="501">
        <f t="shared" si="0"/>
        <v>181.97</v>
      </c>
      <c r="E31" s="497">
        <f t="shared" si="1"/>
        <v>-8.3324704766781742E-3</v>
      </c>
      <c r="G31" s="503"/>
      <c r="H31" s="503"/>
      <c r="I31" s="503"/>
      <c r="J31" s="503"/>
      <c r="K31" s="475"/>
      <c r="L31" s="503"/>
      <c r="M31" s="475"/>
      <c r="N31" s="503"/>
      <c r="O31" s="475"/>
    </row>
    <row r="32" spans="1:15" ht="15" x14ac:dyDescent="0.3">
      <c r="A32" s="498">
        <v>12</v>
      </c>
      <c r="B32" s="502">
        <v>245.03</v>
      </c>
      <c r="C32" s="500">
        <v>62.88</v>
      </c>
      <c r="D32" s="501">
        <f t="shared" si="0"/>
        <v>182.15</v>
      </c>
      <c r="E32" s="497">
        <f t="shared" si="1"/>
        <v>-7.3515387004831709E-3</v>
      </c>
      <c r="G32" s="503"/>
      <c r="H32" s="503"/>
      <c r="I32" s="503"/>
      <c r="J32" s="503"/>
      <c r="K32" s="475"/>
      <c r="L32" s="503"/>
      <c r="M32" s="503"/>
      <c r="N32" s="503"/>
      <c r="O32" s="503"/>
    </row>
    <row r="33" spans="1:15" ht="15" x14ac:dyDescent="0.3">
      <c r="A33" s="498">
        <v>13</v>
      </c>
      <c r="B33" s="502">
        <v>242.05</v>
      </c>
      <c r="C33" s="500">
        <v>62.51</v>
      </c>
      <c r="D33" s="501">
        <f t="shared" si="0"/>
        <v>179.54000000000002</v>
      </c>
      <c r="E33" s="497">
        <f t="shared" si="1"/>
        <v>-2.1575049455310094E-2</v>
      </c>
      <c r="G33" s="504"/>
      <c r="H33" s="504"/>
      <c r="I33" s="504"/>
      <c r="J33" s="504"/>
      <c r="K33" s="505"/>
      <c r="L33" s="504"/>
      <c r="M33" s="504"/>
      <c r="N33" s="506"/>
      <c r="O33" s="504"/>
    </row>
    <row r="34" spans="1:15" ht="15" x14ac:dyDescent="0.3">
      <c r="A34" s="498">
        <v>14</v>
      </c>
      <c r="B34" s="502">
        <v>247.51</v>
      </c>
      <c r="C34" s="500">
        <v>62.66</v>
      </c>
      <c r="D34" s="501">
        <f t="shared" si="0"/>
        <v>184.85</v>
      </c>
      <c r="E34" s="497">
        <f t="shared" si="1"/>
        <v>7.3624379424412547E-3</v>
      </c>
      <c r="G34" s="507"/>
      <c r="H34" s="508"/>
      <c r="I34" s="508"/>
      <c r="J34" s="507"/>
      <c r="K34" s="509"/>
      <c r="L34" s="510"/>
      <c r="M34" s="508"/>
      <c r="N34" s="510"/>
      <c r="O34" s="508"/>
    </row>
    <row r="35" spans="1:15" ht="15" x14ac:dyDescent="0.3">
      <c r="A35" s="498">
        <v>15</v>
      </c>
      <c r="B35" s="502">
        <v>247.94</v>
      </c>
      <c r="C35" s="500">
        <v>61.44</v>
      </c>
      <c r="D35" s="501">
        <f t="shared" si="0"/>
        <v>186.5</v>
      </c>
      <c r="E35" s="497">
        <f t="shared" si="1"/>
        <v>1.6354312557561805E-2</v>
      </c>
      <c r="G35" s="507"/>
      <c r="J35" s="507"/>
      <c r="K35" s="509"/>
      <c r="L35" s="510"/>
      <c r="N35" s="510"/>
    </row>
    <row r="36" spans="1:15" ht="15" x14ac:dyDescent="0.3">
      <c r="A36" s="498">
        <v>16</v>
      </c>
      <c r="B36" s="502">
        <v>245.83</v>
      </c>
      <c r="C36" s="500">
        <v>64.02</v>
      </c>
      <c r="D36" s="501">
        <f t="shared" si="0"/>
        <v>181.81</v>
      </c>
      <c r="E36" s="497">
        <f t="shared" si="1"/>
        <v>-9.204409833295903E-3</v>
      </c>
      <c r="G36" s="511"/>
      <c r="H36" s="511"/>
    </row>
    <row r="37" spans="1:15" ht="15" x14ac:dyDescent="0.3">
      <c r="A37" s="498">
        <v>17</v>
      </c>
      <c r="B37" s="502">
        <v>245.36</v>
      </c>
      <c r="C37" s="500">
        <v>61.44</v>
      </c>
      <c r="D37" s="501">
        <f t="shared" si="0"/>
        <v>183.92000000000002</v>
      </c>
      <c r="E37" s="497">
        <f t="shared" si="1"/>
        <v>2.2942904321007155E-3</v>
      </c>
    </row>
    <row r="38" spans="1:15" ht="15" x14ac:dyDescent="0.3">
      <c r="A38" s="498">
        <v>18</v>
      </c>
      <c r="B38" s="502">
        <v>245.46</v>
      </c>
      <c r="C38" s="500">
        <v>59.78</v>
      </c>
      <c r="D38" s="501">
        <f t="shared" si="0"/>
        <v>185.68</v>
      </c>
      <c r="E38" s="497">
        <f t="shared" si="1"/>
        <v>1.1885623354895887E-2</v>
      </c>
    </row>
    <row r="39" spans="1:15" ht="15" x14ac:dyDescent="0.3">
      <c r="A39" s="498">
        <v>19</v>
      </c>
      <c r="B39" s="502">
        <v>246.81</v>
      </c>
      <c r="C39" s="500">
        <v>62.72</v>
      </c>
      <c r="D39" s="501">
        <f t="shared" si="0"/>
        <v>184.09</v>
      </c>
      <c r="E39" s="497">
        <f t="shared" si="1"/>
        <v>3.2207259985070039E-3</v>
      </c>
    </row>
    <row r="40" spans="1:15" ht="14.25" customHeight="1" thickBot="1" x14ac:dyDescent="0.35">
      <c r="A40" s="512">
        <v>20</v>
      </c>
      <c r="B40" s="513">
        <v>244.39</v>
      </c>
      <c r="C40" s="514">
        <v>59.63</v>
      </c>
      <c r="D40" s="515">
        <f t="shared" si="0"/>
        <v>184.76</v>
      </c>
      <c r="E40" s="516">
        <f t="shared" si="1"/>
        <v>6.8719720543437531E-3</v>
      </c>
    </row>
    <row r="41" spans="1:15" ht="14.25" customHeight="1" thickBot="1" x14ac:dyDescent="0.35">
      <c r="B41" s="471"/>
      <c r="D41" s="475"/>
      <c r="G41" s="477"/>
    </row>
    <row r="42" spans="1:15" x14ac:dyDescent="0.3">
      <c r="A42" s="517" t="s">
        <v>164</v>
      </c>
      <c r="B42" s="518">
        <f>SUM(B21:B40)</f>
        <v>4910.1900000000014</v>
      </c>
      <c r="C42" s="519">
        <f>SUM(C21:C40)</f>
        <v>1240.21</v>
      </c>
      <c r="D42" s="520">
        <f>SUM(D21:D40)</f>
        <v>3669.9799999999996</v>
      </c>
    </row>
    <row r="43" spans="1:15" ht="15.75" customHeight="1" thickBot="1" x14ac:dyDescent="0.35">
      <c r="A43" s="521" t="s">
        <v>136</v>
      </c>
      <c r="B43" s="522">
        <f>AVERAGE(B21:B40)</f>
        <v>245.50950000000006</v>
      </c>
      <c r="C43" s="523">
        <f>AVERAGE(C21:C40)</f>
        <v>62.0105</v>
      </c>
      <c r="D43" s="524">
        <f>AVERAGE(D21:D40)</f>
        <v>183.49899999999997</v>
      </c>
    </row>
    <row r="44" spans="1:15" x14ac:dyDescent="0.3">
      <c r="A44" s="471"/>
      <c r="B44" s="525"/>
      <c r="C44" s="525"/>
      <c r="D44" s="471"/>
    </row>
    <row r="45" spans="1:15" ht="14.25" customHeight="1" thickBot="1" x14ac:dyDescent="0.35">
      <c r="A45" s="471"/>
      <c r="B45" s="471"/>
      <c r="C45" s="471"/>
      <c r="D45" s="471"/>
    </row>
    <row r="46" spans="1:15" ht="30.75" customHeight="1" thickBot="1" x14ac:dyDescent="0.35">
      <c r="B46" s="526" t="s">
        <v>136</v>
      </c>
      <c r="C46" s="527" t="s">
        <v>165</v>
      </c>
    </row>
    <row r="47" spans="1:15" ht="15.75" customHeight="1" thickBot="1" x14ac:dyDescent="0.35">
      <c r="B47" s="528">
        <f>D43</f>
        <v>183.49899999999997</v>
      </c>
      <c r="C47" s="529">
        <f>-(IF(D43&gt;300, 7.5%, 10%))</f>
        <v>-0.1</v>
      </c>
      <c r="D47" s="530">
        <f>IF(D43&lt;300, D43*0.9, D43*0.925)</f>
        <v>165.14909999999998</v>
      </c>
    </row>
    <row r="48" spans="1:15" ht="15.75" customHeight="1" thickBot="1" x14ac:dyDescent="0.35">
      <c r="B48" s="531"/>
      <c r="C48" s="532">
        <f>+(IF(D43&gt;300, 7.5%, 10%))</f>
        <v>0.1</v>
      </c>
      <c r="D48" s="530">
        <f>IF(D43&lt;300, D43*1.1, D43*1.075)</f>
        <v>201.84889999999999</v>
      </c>
    </row>
    <row r="49" spans="1:7" ht="14.25" customHeight="1" thickBot="1" x14ac:dyDescent="0.35">
      <c r="A49" s="533"/>
      <c r="D49" s="535"/>
    </row>
    <row r="50" spans="1:7" ht="15" customHeight="1" x14ac:dyDescent="0.3">
      <c r="B50" s="536" t="s">
        <v>25</v>
      </c>
      <c r="C50" s="536"/>
      <c r="D50" s="471"/>
      <c r="E50" s="537" t="s">
        <v>26</v>
      </c>
      <c r="F50" s="538"/>
      <c r="G50" s="537" t="s">
        <v>27</v>
      </c>
    </row>
    <row r="51" spans="1:7" ht="15" customHeight="1" x14ac:dyDescent="0.3">
      <c r="A51" s="539" t="s">
        <v>28</v>
      </c>
      <c r="B51" s="540"/>
      <c r="C51" s="540"/>
      <c r="D51" s="471"/>
      <c r="E51" s="540"/>
      <c r="F51" s="471"/>
      <c r="G51" s="540"/>
    </row>
    <row r="52" spans="1:7" ht="15" customHeight="1" x14ac:dyDescent="0.3">
      <c r="A52" s="539" t="s">
        <v>29</v>
      </c>
      <c r="B52" s="541"/>
      <c r="C52" s="541"/>
      <c r="D52" s="471"/>
      <c r="E52" s="541"/>
      <c r="F52" s="471"/>
      <c r="G52" s="542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28" t="s">
        <v>30</v>
      </c>
      <c r="B1" s="428"/>
      <c r="C1" s="428"/>
      <c r="D1" s="428"/>
      <c r="E1" s="428"/>
      <c r="F1" s="428"/>
      <c r="G1" s="428"/>
      <c r="H1" s="428"/>
      <c r="I1" s="428"/>
    </row>
    <row r="2" spans="1:9" ht="18.7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</row>
    <row r="3" spans="1:9" ht="18.75" customHeight="1" x14ac:dyDescent="0.25">
      <c r="A3" s="428"/>
      <c r="B3" s="428"/>
      <c r="C3" s="428"/>
      <c r="D3" s="428"/>
      <c r="E3" s="428"/>
      <c r="F3" s="428"/>
      <c r="G3" s="428"/>
      <c r="H3" s="428"/>
      <c r="I3" s="428"/>
    </row>
    <row r="4" spans="1:9" ht="18.75" customHeight="1" x14ac:dyDescent="0.25">
      <c r="A4" s="428"/>
      <c r="B4" s="428"/>
      <c r="C4" s="428"/>
      <c r="D4" s="428"/>
      <c r="E4" s="428"/>
      <c r="F4" s="428"/>
      <c r="G4" s="428"/>
      <c r="H4" s="428"/>
      <c r="I4" s="428"/>
    </row>
    <row r="5" spans="1:9" ht="18.75" customHeight="1" x14ac:dyDescent="0.25">
      <c r="A5" s="428"/>
      <c r="B5" s="428"/>
      <c r="C5" s="428"/>
      <c r="D5" s="428"/>
      <c r="E5" s="428"/>
      <c r="F5" s="428"/>
      <c r="G5" s="428"/>
      <c r="H5" s="428"/>
      <c r="I5" s="428"/>
    </row>
    <row r="6" spans="1:9" ht="18.75" customHeight="1" x14ac:dyDescent="0.25">
      <c r="A6" s="428"/>
      <c r="B6" s="428"/>
      <c r="C6" s="428"/>
      <c r="D6" s="428"/>
      <c r="E6" s="428"/>
      <c r="F6" s="428"/>
      <c r="G6" s="428"/>
      <c r="H6" s="428"/>
      <c r="I6" s="428"/>
    </row>
    <row r="7" spans="1:9" ht="18.75" customHeight="1" x14ac:dyDescent="0.25">
      <c r="A7" s="428"/>
      <c r="B7" s="428"/>
      <c r="C7" s="428"/>
      <c r="D7" s="428"/>
      <c r="E7" s="428"/>
      <c r="F7" s="428"/>
      <c r="G7" s="428"/>
      <c r="H7" s="428"/>
      <c r="I7" s="428"/>
    </row>
    <row r="8" spans="1:9" x14ac:dyDescent="0.25">
      <c r="A8" s="429" t="s">
        <v>31</v>
      </c>
      <c r="B8" s="429"/>
      <c r="C8" s="429"/>
      <c r="D8" s="429"/>
      <c r="E8" s="429"/>
      <c r="F8" s="429"/>
      <c r="G8" s="429"/>
      <c r="H8" s="429"/>
      <c r="I8" s="429"/>
    </row>
    <row r="9" spans="1:9" x14ac:dyDescent="0.25">
      <c r="A9" s="429"/>
      <c r="B9" s="429"/>
      <c r="C9" s="429"/>
      <c r="D9" s="429"/>
      <c r="E9" s="429"/>
      <c r="F9" s="429"/>
      <c r="G9" s="429"/>
      <c r="H9" s="429"/>
      <c r="I9" s="429"/>
    </row>
    <row r="10" spans="1:9" x14ac:dyDescent="0.25">
      <c r="A10" s="429"/>
      <c r="B10" s="429"/>
      <c r="C10" s="429"/>
      <c r="D10" s="429"/>
      <c r="E10" s="429"/>
      <c r="F10" s="429"/>
      <c r="G10" s="429"/>
      <c r="H10" s="429"/>
      <c r="I10" s="429"/>
    </row>
    <row r="11" spans="1:9" x14ac:dyDescent="0.25">
      <c r="A11" s="429"/>
      <c r="B11" s="429"/>
      <c r="C11" s="429"/>
      <c r="D11" s="429"/>
      <c r="E11" s="429"/>
      <c r="F11" s="429"/>
      <c r="G11" s="429"/>
      <c r="H11" s="429"/>
      <c r="I11" s="429"/>
    </row>
    <row r="12" spans="1:9" x14ac:dyDescent="0.25">
      <c r="A12" s="429"/>
      <c r="B12" s="429"/>
      <c r="C12" s="429"/>
      <c r="D12" s="429"/>
      <c r="E12" s="429"/>
      <c r="F12" s="429"/>
      <c r="G12" s="429"/>
      <c r="H12" s="429"/>
      <c r="I12" s="429"/>
    </row>
    <row r="13" spans="1:9" x14ac:dyDescent="0.25">
      <c r="A13" s="429"/>
      <c r="B13" s="429"/>
      <c r="C13" s="429"/>
      <c r="D13" s="429"/>
      <c r="E13" s="429"/>
      <c r="F13" s="429"/>
      <c r="G13" s="429"/>
      <c r="H13" s="429"/>
      <c r="I13" s="429"/>
    </row>
    <row r="14" spans="1:9" x14ac:dyDescent="0.25">
      <c r="A14" s="429"/>
      <c r="B14" s="429"/>
      <c r="C14" s="429"/>
      <c r="D14" s="429"/>
      <c r="E14" s="429"/>
      <c r="F14" s="429"/>
      <c r="G14" s="429"/>
      <c r="H14" s="429"/>
      <c r="I14" s="429"/>
    </row>
    <row r="15" spans="1:9" ht="19.5" customHeight="1" x14ac:dyDescent="0.3">
      <c r="A15" s="52"/>
    </row>
    <row r="16" spans="1:9" ht="19.5" customHeight="1" x14ac:dyDescent="0.3">
      <c r="A16" s="461" t="s">
        <v>32</v>
      </c>
      <c r="B16" s="462"/>
      <c r="C16" s="462"/>
      <c r="D16" s="462"/>
      <c r="E16" s="462"/>
      <c r="F16" s="462"/>
      <c r="G16" s="462"/>
      <c r="H16" s="463"/>
    </row>
    <row r="17" spans="1:14" ht="20.25" customHeight="1" x14ac:dyDescent="0.25">
      <c r="A17" s="464" t="s">
        <v>33</v>
      </c>
      <c r="B17" s="464"/>
      <c r="C17" s="464"/>
      <c r="D17" s="464"/>
      <c r="E17" s="464"/>
      <c r="F17" s="464"/>
      <c r="G17" s="464"/>
      <c r="H17" s="464"/>
    </row>
    <row r="18" spans="1:14" ht="26.25" customHeight="1" x14ac:dyDescent="0.4">
      <c r="A18" s="54" t="s">
        <v>34</v>
      </c>
      <c r="B18" s="460" t="s">
        <v>5</v>
      </c>
      <c r="C18" s="460"/>
      <c r="D18" s="200"/>
      <c r="E18" s="55"/>
      <c r="F18" s="56"/>
      <c r="G18" s="56"/>
      <c r="H18" s="56"/>
    </row>
    <row r="19" spans="1:14" ht="26.25" customHeight="1" x14ac:dyDescent="0.4">
      <c r="A19" s="54" t="s">
        <v>35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36</v>
      </c>
      <c r="B20" s="465" t="s">
        <v>9</v>
      </c>
      <c r="C20" s="465"/>
      <c r="D20" s="56"/>
      <c r="E20" s="56"/>
      <c r="F20" s="56"/>
      <c r="G20" s="56"/>
      <c r="H20" s="56"/>
    </row>
    <row r="21" spans="1:14" ht="26.25" customHeight="1" x14ac:dyDescent="0.4">
      <c r="A21" s="54" t="s">
        <v>37</v>
      </c>
      <c r="B21" s="465" t="s">
        <v>11</v>
      </c>
      <c r="C21" s="465"/>
      <c r="D21" s="465"/>
      <c r="E21" s="465"/>
      <c r="F21" s="465"/>
      <c r="G21" s="465"/>
      <c r="H21" s="465"/>
      <c r="I21" s="58"/>
    </row>
    <row r="22" spans="1:14" ht="26.25" customHeight="1" x14ac:dyDescent="0.4">
      <c r="A22" s="54" t="s">
        <v>38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39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60" t="s">
        <v>144</v>
      </c>
      <c r="C26" s="460"/>
    </row>
    <row r="27" spans="1:14" ht="26.25" customHeight="1" x14ac:dyDescent="0.4">
      <c r="A27" s="63" t="s">
        <v>40</v>
      </c>
      <c r="B27" s="466" t="s">
        <v>145</v>
      </c>
      <c r="C27" s="466"/>
    </row>
    <row r="28" spans="1:14" ht="27" customHeight="1" x14ac:dyDescent="0.4">
      <c r="A28" s="63" t="s">
        <v>6</v>
      </c>
      <c r="B28" s="64">
        <v>98.7</v>
      </c>
    </row>
    <row r="29" spans="1:14" s="14" customFormat="1" ht="27" customHeight="1" x14ac:dyDescent="0.4">
      <c r="A29" s="63" t="s">
        <v>41</v>
      </c>
      <c r="B29" s="65">
        <v>0</v>
      </c>
      <c r="C29" s="436" t="s">
        <v>42</v>
      </c>
      <c r="D29" s="437"/>
      <c r="E29" s="437"/>
      <c r="F29" s="437"/>
      <c r="G29" s="438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98.7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421">
        <v>341.40699999999998</v>
      </c>
      <c r="C31" s="439" t="s">
        <v>45</v>
      </c>
      <c r="D31" s="440"/>
      <c r="E31" s="440"/>
      <c r="F31" s="440"/>
      <c r="G31" s="440"/>
      <c r="H31" s="441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421">
        <v>377.86500000000001</v>
      </c>
      <c r="C32" s="439" t="s">
        <v>47</v>
      </c>
      <c r="D32" s="440"/>
      <c r="E32" s="440"/>
      <c r="F32" s="440"/>
      <c r="G32" s="440"/>
      <c r="H32" s="441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0.90351580590951786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25</v>
      </c>
      <c r="C36" s="53"/>
      <c r="D36" s="442" t="s">
        <v>51</v>
      </c>
      <c r="E36" s="467"/>
      <c r="F36" s="442" t="s">
        <v>52</v>
      </c>
      <c r="G36" s="443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3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25</v>
      </c>
      <c r="C38" s="85">
        <v>1</v>
      </c>
      <c r="D38" s="86">
        <v>1821950</v>
      </c>
      <c r="E38" s="87">
        <f>IF(ISBLANK(D38),"-",$D$48/$D$45*D38)</f>
        <v>1689399.6313332312</v>
      </c>
      <c r="F38" s="86">
        <v>1969850</v>
      </c>
      <c r="G38" s="88">
        <f>IF(ISBLANK(F38),"-",$D$48/$F$45*F38)</f>
        <v>1698534.1495722886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>
        <v>1824205</v>
      </c>
      <c r="E39" s="92">
        <f>IF(ISBLANK(D39),"-",$D$48/$D$45*D39)</f>
        <v>1691490.5757437015</v>
      </c>
      <c r="F39" s="91">
        <v>1981004</v>
      </c>
      <c r="G39" s="93">
        <f>IF(ISBLANK(F39),"-",$D$48/$F$45*F39)</f>
        <v>1708151.8615322497</v>
      </c>
      <c r="I39" s="444">
        <f>ABS((F43/D43*D42)-F42)/D42</f>
        <v>8.5841539226465778E-3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>
        <v>1823509</v>
      </c>
      <c r="E40" s="92">
        <f>IF(ISBLANK(D40),"-",$D$48/$D$45*D40)</f>
        <v>1690845.2110830862</v>
      </c>
      <c r="F40" s="91">
        <v>1977969</v>
      </c>
      <c r="G40" s="93">
        <f>IF(ISBLANK(F40),"-",$D$48/$F$45*F40)</f>
        <v>1705534.8850396478</v>
      </c>
      <c r="I40" s="444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>
        <f>AVERAGE(D38:D41)</f>
        <v>1823221.3333333333</v>
      </c>
      <c r="E42" s="102">
        <f>AVERAGE(E38:E41)</f>
        <v>1690578.4727200065</v>
      </c>
      <c r="F42" s="101">
        <f>AVERAGE(F38:F41)</f>
        <v>1976274.3333333333</v>
      </c>
      <c r="G42" s="103">
        <f>AVERAGE(G38:G41)</f>
        <v>1704073.632048062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10.35</v>
      </c>
      <c r="E43" s="94"/>
      <c r="F43" s="106">
        <v>11.13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9.3513885911635093</v>
      </c>
      <c r="E44" s="109"/>
      <c r="F44" s="108">
        <f>F43*$B$34</f>
        <v>10.056130919772935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208.33333333333334</v>
      </c>
      <c r="C45" s="107" t="s">
        <v>69</v>
      </c>
      <c r="D45" s="111">
        <f>D44*$B$30/100</f>
        <v>9.2298205394783839</v>
      </c>
      <c r="E45" s="112"/>
      <c r="F45" s="111">
        <f>F44*$B$30/100</f>
        <v>9.925401217815887</v>
      </c>
      <c r="H45" s="104"/>
    </row>
    <row r="46" spans="1:14" ht="19.5" customHeight="1" x14ac:dyDescent="0.3">
      <c r="A46" s="430" t="s">
        <v>70</v>
      </c>
      <c r="B46" s="431"/>
      <c r="C46" s="107" t="s">
        <v>71</v>
      </c>
      <c r="D46" s="113">
        <f>D45/$B$45</f>
        <v>4.4303138589496242E-2</v>
      </c>
      <c r="E46" s="114"/>
      <c r="F46" s="115">
        <f>F45/$B$45</f>
        <v>4.7641925845516256E-2</v>
      </c>
      <c r="H46" s="104"/>
    </row>
    <row r="47" spans="1:14" ht="27" customHeight="1" x14ac:dyDescent="0.4">
      <c r="A47" s="432"/>
      <c r="B47" s="433"/>
      <c r="C47" s="116" t="s">
        <v>72</v>
      </c>
      <c r="D47" s="117">
        <v>4.1079999999999998E-2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8.5583333333333336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9.4722563538533198</v>
      </c>
      <c r="F49" s="120"/>
      <c r="H49" s="104"/>
    </row>
    <row r="50" spans="1:12" ht="18.75" x14ac:dyDescent="0.3">
      <c r="C50" s="76" t="s">
        <v>75</v>
      </c>
      <c r="D50" s="123">
        <f>AVERAGE(E38:E41,G38:G41)</f>
        <v>1697326.0523840345</v>
      </c>
      <c r="F50" s="124"/>
      <c r="H50" s="104"/>
    </row>
    <row r="51" spans="1:12" ht="18.75" x14ac:dyDescent="0.3">
      <c r="C51" s="78" t="s">
        <v>76</v>
      </c>
      <c r="D51" s="125">
        <f>STDEV(E38:E41,G38:G41)/D50</f>
        <v>4.7494264107756246E-3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each contains naltrexone hydrochloride 4.5 mg</v>
      </c>
    </row>
    <row r="56" spans="1:12" ht="26.25" customHeight="1" x14ac:dyDescent="0.4">
      <c r="A56" s="131" t="s">
        <v>79</v>
      </c>
      <c r="B56" s="132">
        <v>4.5</v>
      </c>
      <c r="C56" s="53" t="str">
        <f>B20</f>
        <v xml:space="preserve">Naltrexone Hydrochloride 4.5mg </v>
      </c>
      <c r="H56" s="133"/>
    </row>
    <row r="57" spans="1:12" ht="18.75" x14ac:dyDescent="0.3">
      <c r="A57" s="130" t="s">
        <v>80</v>
      </c>
      <c r="B57" s="201">
        <f>Uniformity!D43</f>
        <v>183.49899999999997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100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1</v>
      </c>
      <c r="C60" s="447" t="s">
        <v>86</v>
      </c>
      <c r="D60" s="450">
        <v>189.98</v>
      </c>
      <c r="E60" s="136">
        <v>1</v>
      </c>
      <c r="F60" s="137">
        <v>2069458</v>
      </c>
      <c r="G60" s="202">
        <f>IF(ISBLANK(F60),"-",(F60/$D$50*$D$47*$B$68)*($B$57/$D$60))</f>
        <v>4.8377964656098182</v>
      </c>
      <c r="H60" s="220">
        <f t="shared" ref="H60:H71" si="0">IF(ISBLANK(F60),"-",(G60/$B$56)*100)</f>
        <v>107.50658812466263</v>
      </c>
      <c r="L60" s="66"/>
    </row>
    <row r="61" spans="1:12" s="14" customFormat="1" ht="26.25" customHeight="1" x14ac:dyDescent="0.4">
      <c r="A61" s="78" t="s">
        <v>87</v>
      </c>
      <c r="B61" s="79">
        <v>1</v>
      </c>
      <c r="C61" s="448"/>
      <c r="D61" s="451"/>
      <c r="E61" s="138">
        <v>2</v>
      </c>
      <c r="F61" s="91">
        <v>2065852</v>
      </c>
      <c r="G61" s="203">
        <f>IF(ISBLANK(F61),"-",(F61/$D$50*$D$47*$B$68)*($B$57/$D$60))</f>
        <v>4.8293666767206549</v>
      </c>
      <c r="H61" s="221">
        <f t="shared" si="0"/>
        <v>107.31925948268122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448"/>
      <c r="D62" s="451"/>
      <c r="E62" s="138">
        <v>3</v>
      </c>
      <c r="F62" s="139">
        <v>2060989</v>
      </c>
      <c r="G62" s="203">
        <f>IF(ISBLANK(F62),"-",(F62/$D$50*$D$47*$B$68)*($B$57/$D$60))</f>
        <v>4.8179983840506617</v>
      </c>
      <c r="H62" s="221">
        <f t="shared" si="0"/>
        <v>107.06663075668136</v>
      </c>
      <c r="L62" s="66"/>
    </row>
    <row r="63" spans="1:12" ht="27" customHeight="1" x14ac:dyDescent="0.4">
      <c r="A63" s="78" t="s">
        <v>89</v>
      </c>
      <c r="B63" s="79">
        <v>1</v>
      </c>
      <c r="C63" s="457"/>
      <c r="D63" s="452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447" t="s">
        <v>91</v>
      </c>
      <c r="D64" s="450">
        <v>195.47</v>
      </c>
      <c r="E64" s="136">
        <v>1</v>
      </c>
      <c r="F64" s="137">
        <v>2157935</v>
      </c>
      <c r="G64" s="202">
        <f>IF(ISBLANK(F64),"-",(F64/$D$50*$D$47*$B$68)*($B$57/$D$64))</f>
        <v>4.9029459488586857</v>
      </c>
      <c r="H64" s="220">
        <f t="shared" si="0"/>
        <v>108.95435441908189</v>
      </c>
    </row>
    <row r="65" spans="1:8" ht="26.25" customHeight="1" x14ac:dyDescent="0.4">
      <c r="A65" s="78" t="s">
        <v>92</v>
      </c>
      <c r="B65" s="79">
        <v>1</v>
      </c>
      <c r="C65" s="448"/>
      <c r="D65" s="451"/>
      <c r="E65" s="138">
        <v>2</v>
      </c>
      <c r="F65" s="91">
        <v>2152684</v>
      </c>
      <c r="G65" s="203">
        <f>IF(ISBLANK(F65),"-",(F65/$D$50*$D$47*$B$68)*($B$57/$D$64))</f>
        <v>4.8910153906271088</v>
      </c>
      <c r="H65" s="221">
        <f t="shared" si="0"/>
        <v>108.68923090282463</v>
      </c>
    </row>
    <row r="66" spans="1:8" ht="26.25" customHeight="1" x14ac:dyDescent="0.4">
      <c r="A66" s="78" t="s">
        <v>93</v>
      </c>
      <c r="B66" s="79">
        <v>1</v>
      </c>
      <c r="C66" s="448"/>
      <c r="D66" s="451"/>
      <c r="E66" s="138">
        <v>3</v>
      </c>
      <c r="F66" s="91">
        <v>2158794</v>
      </c>
      <c r="G66" s="203">
        <f>IF(ISBLANK(F66),"-",(F66/$D$50*$D$47*$B$68)*($B$57/$D$64))</f>
        <v>4.9048976436827045</v>
      </c>
      <c r="H66" s="221">
        <f t="shared" si="0"/>
        <v>108.9977254151712</v>
      </c>
    </row>
    <row r="67" spans="1:8" ht="27" customHeight="1" x14ac:dyDescent="0.4">
      <c r="A67" s="78" t="s">
        <v>94</v>
      </c>
      <c r="B67" s="79">
        <v>1</v>
      </c>
      <c r="C67" s="457"/>
      <c r="D67" s="452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95</v>
      </c>
      <c r="B68" s="142">
        <f>(B67/B66)*(B65/B64)*(B63/B62)*(B61/B60)*B59</f>
        <v>100</v>
      </c>
      <c r="C68" s="447" t="s">
        <v>96</v>
      </c>
      <c r="D68" s="450">
        <v>183.47</v>
      </c>
      <c r="E68" s="136">
        <v>1</v>
      </c>
      <c r="F68" s="137">
        <v>2011353</v>
      </c>
      <c r="G68" s="202">
        <f>IF(ISBLANK(F68),"-",(F68/$D$50*$D$47*$B$68)*($B$57/$D$68))</f>
        <v>4.8688018061888378</v>
      </c>
      <c r="H68" s="221">
        <f t="shared" si="0"/>
        <v>108.19559569308528</v>
      </c>
    </row>
    <row r="69" spans="1:8" ht="27" customHeight="1" x14ac:dyDescent="0.4">
      <c r="A69" s="126" t="s">
        <v>97</v>
      </c>
      <c r="B69" s="143">
        <f>(D47*B68)/B56*B57</f>
        <v>167.51419822222218</v>
      </c>
      <c r="C69" s="448"/>
      <c r="D69" s="451"/>
      <c r="E69" s="138">
        <v>2</v>
      </c>
      <c r="F69" s="91">
        <v>2008872</v>
      </c>
      <c r="G69" s="203">
        <f>IF(ISBLANK(F69),"-",(F69/$D$50*$D$47*$B$68)*($B$57/$D$68))</f>
        <v>4.8627961486632048</v>
      </c>
      <c r="H69" s="221">
        <f t="shared" si="0"/>
        <v>108.06213663696012</v>
      </c>
    </row>
    <row r="70" spans="1:8" ht="26.25" customHeight="1" x14ac:dyDescent="0.4">
      <c r="A70" s="453" t="s">
        <v>70</v>
      </c>
      <c r="B70" s="454"/>
      <c r="C70" s="448"/>
      <c r="D70" s="451"/>
      <c r="E70" s="138">
        <v>3</v>
      </c>
      <c r="F70" s="91">
        <v>2001175</v>
      </c>
      <c r="G70" s="203">
        <f>IF(ISBLANK(F70),"-",(F70/$D$50*$D$47*$B$68)*($B$57/$D$68))</f>
        <v>4.8441643284395859</v>
      </c>
      <c r="H70" s="221">
        <f t="shared" si="0"/>
        <v>107.64809618754636</v>
      </c>
    </row>
    <row r="71" spans="1:8" ht="27" customHeight="1" x14ac:dyDescent="0.4">
      <c r="A71" s="455"/>
      <c r="B71" s="456"/>
      <c r="C71" s="449"/>
      <c r="D71" s="452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63</v>
      </c>
      <c r="G72" s="208">
        <f>AVERAGE(G60:G71)</f>
        <v>4.8621980880934741</v>
      </c>
      <c r="H72" s="223">
        <f>AVERAGE(H60:H71)</f>
        <v>108.04884640207717</v>
      </c>
    </row>
    <row r="73" spans="1:8" ht="26.25" customHeight="1" x14ac:dyDescent="0.4">
      <c r="C73" s="144"/>
      <c r="D73" s="144"/>
      <c r="E73" s="144"/>
      <c r="F73" s="147" t="s">
        <v>76</v>
      </c>
      <c r="G73" s="207">
        <f>STDEV(G60:G71)/G72</f>
        <v>6.6287018825605237E-3</v>
      </c>
      <c r="H73" s="207">
        <f>STDEV(H60:H71)/H72</f>
        <v>6.6287018825605037E-3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98</v>
      </c>
      <c r="B76" s="151" t="s">
        <v>99</v>
      </c>
      <c r="C76" s="434" t="str">
        <f>B26</f>
        <v>Naltrexone</v>
      </c>
      <c r="D76" s="434"/>
      <c r="E76" s="152" t="s">
        <v>100</v>
      </c>
      <c r="F76" s="152"/>
      <c r="G76" s="153">
        <f>H72</f>
        <v>108.04884640207717</v>
      </c>
      <c r="H76" s="154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68" t="str">
        <f>B26</f>
        <v>Naltrexone</v>
      </c>
      <c r="C79" s="468"/>
    </row>
    <row r="80" spans="1:8" ht="26.25" customHeight="1" x14ac:dyDescent="0.4">
      <c r="A80" s="63" t="s">
        <v>40</v>
      </c>
      <c r="B80" s="468" t="str">
        <f>B27</f>
        <v>N20-1</v>
      </c>
      <c r="C80" s="468"/>
    </row>
    <row r="81" spans="1:12" ht="27" customHeight="1" x14ac:dyDescent="0.4">
      <c r="A81" s="63" t="s">
        <v>6</v>
      </c>
      <c r="B81" s="155">
        <f>B28</f>
        <v>98.7</v>
      </c>
    </row>
    <row r="82" spans="1:12" s="14" customFormat="1" ht="27" customHeight="1" x14ac:dyDescent="0.4">
      <c r="A82" s="63" t="s">
        <v>41</v>
      </c>
      <c r="B82" s="65">
        <v>0</v>
      </c>
      <c r="C82" s="436" t="s">
        <v>42</v>
      </c>
      <c r="D82" s="437"/>
      <c r="E82" s="437"/>
      <c r="F82" s="437"/>
      <c r="G82" s="438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98.7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>
        <v>341.40699999999998</v>
      </c>
      <c r="C84" s="439" t="s">
        <v>103</v>
      </c>
      <c r="D84" s="440"/>
      <c r="E84" s="440"/>
      <c r="F84" s="440"/>
      <c r="G84" s="440"/>
      <c r="H84" s="441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>
        <v>377.86500000000001</v>
      </c>
      <c r="C85" s="439" t="s">
        <v>104</v>
      </c>
      <c r="D85" s="440"/>
      <c r="E85" s="440"/>
      <c r="F85" s="440"/>
      <c r="G85" s="440"/>
      <c r="H85" s="441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>
        <f>B84/B85</f>
        <v>0.90351580590951786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25</v>
      </c>
      <c r="D89" s="156" t="s">
        <v>51</v>
      </c>
      <c r="E89" s="157"/>
      <c r="F89" s="442" t="s">
        <v>52</v>
      </c>
      <c r="G89" s="443"/>
    </row>
    <row r="90" spans="1:12" ht="27" customHeight="1" x14ac:dyDescent="0.4">
      <c r="A90" s="78" t="s">
        <v>53</v>
      </c>
      <c r="B90" s="79">
        <v>3</v>
      </c>
      <c r="C90" s="158" t="s">
        <v>54</v>
      </c>
      <c r="D90" s="81" t="s">
        <v>55</v>
      </c>
      <c r="E90" s="82" t="s">
        <v>56</v>
      </c>
      <c r="F90" s="81" t="s">
        <v>55</v>
      </c>
      <c r="G90" s="159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25</v>
      </c>
      <c r="C91" s="160">
        <v>1</v>
      </c>
      <c r="D91" s="86">
        <v>185287</v>
      </c>
      <c r="E91" s="87">
        <f>IF(ISBLANK(D91),"-",$D$101/$D$98*D91)</f>
        <v>261390.9052201008</v>
      </c>
      <c r="F91" s="86">
        <v>206598</v>
      </c>
      <c r="G91" s="88">
        <f>IF(ISBLANK(F91),"-",$D$101/$F$98*F91)</f>
        <v>271029.66076286836</v>
      </c>
      <c r="I91" s="89"/>
    </row>
    <row r="92" spans="1:12" ht="26.25" customHeight="1" x14ac:dyDescent="0.4">
      <c r="A92" s="78" t="s">
        <v>59</v>
      </c>
      <c r="B92" s="79">
        <v>2</v>
      </c>
      <c r="C92" s="145">
        <v>2</v>
      </c>
      <c r="D92" s="91">
        <v>187154</v>
      </c>
      <c r="E92" s="92">
        <f>IF(ISBLANK(D92),"-",$D$101/$D$98*D92)</f>
        <v>264024.74796160951</v>
      </c>
      <c r="F92" s="91">
        <v>202245</v>
      </c>
      <c r="G92" s="93">
        <f>IF(ISBLANK(F92),"-",$D$101/$F$98*F92)</f>
        <v>265319.09186432743</v>
      </c>
      <c r="I92" s="444">
        <f>ABS((F96/D96*D95)-F95)/D95</f>
        <v>1.9538951123379316E-2</v>
      </c>
    </row>
    <row r="93" spans="1:12" ht="26.25" customHeight="1" x14ac:dyDescent="0.4">
      <c r="A93" s="78" t="s">
        <v>60</v>
      </c>
      <c r="B93" s="79">
        <v>25</v>
      </c>
      <c r="C93" s="145">
        <v>3</v>
      </c>
      <c r="D93" s="91">
        <v>183874</v>
      </c>
      <c r="E93" s="92">
        <f>IF(ISBLANK(D93),"-",$D$101/$D$98*D93)</f>
        <v>259397.53628932853</v>
      </c>
      <c r="F93" s="91">
        <v>200267</v>
      </c>
      <c r="G93" s="93">
        <f>IF(ISBLANK(F93),"-",$D$101/$F$98*F93)</f>
        <v>262724.21355481353</v>
      </c>
      <c r="I93" s="444"/>
    </row>
    <row r="94" spans="1:12" ht="27" customHeight="1" x14ac:dyDescent="0.4">
      <c r="A94" s="78" t="s">
        <v>61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63" t="s">
        <v>63</v>
      </c>
      <c r="D95" s="164">
        <f>AVERAGE(D91:D94)</f>
        <v>185438.33333333334</v>
      </c>
      <c r="E95" s="102">
        <f>AVERAGE(E91:E94)</f>
        <v>261604.39649034626</v>
      </c>
      <c r="F95" s="165">
        <f>AVERAGE(F91:F94)</f>
        <v>203036.66666666666</v>
      </c>
      <c r="G95" s="166">
        <f>AVERAGE(G91:G94)</f>
        <v>266357.65539400309</v>
      </c>
    </row>
    <row r="96" spans="1:12" ht="26.25" customHeight="1" x14ac:dyDescent="0.4">
      <c r="A96" s="78" t="s">
        <v>64</v>
      </c>
      <c r="B96" s="64">
        <v>1</v>
      </c>
      <c r="C96" s="167" t="s">
        <v>105</v>
      </c>
      <c r="D96" s="168">
        <v>10.35</v>
      </c>
      <c r="E96" s="94"/>
      <c r="F96" s="106">
        <v>11.13</v>
      </c>
    </row>
    <row r="97" spans="1:10" ht="26.25" customHeight="1" x14ac:dyDescent="0.4">
      <c r="A97" s="78" t="s">
        <v>66</v>
      </c>
      <c r="B97" s="64">
        <v>1</v>
      </c>
      <c r="C97" s="169" t="s">
        <v>106</v>
      </c>
      <c r="D97" s="170">
        <f>D96*$B$87</f>
        <v>9.3513885911635093</v>
      </c>
      <c r="E97" s="109"/>
      <c r="F97" s="108">
        <f>F96*$B$87</f>
        <v>10.056130919772935</v>
      </c>
    </row>
    <row r="98" spans="1:10" ht="19.5" customHeight="1" x14ac:dyDescent="0.3">
      <c r="A98" s="78" t="s">
        <v>68</v>
      </c>
      <c r="B98" s="171">
        <f>(B97/B96)*(B95/B94)*(B93/B92)*(B91/B90)*B89</f>
        <v>2604.166666666667</v>
      </c>
      <c r="C98" s="169" t="s">
        <v>107</v>
      </c>
      <c r="D98" s="172">
        <f>D97*$B$83/100</f>
        <v>9.2298205394783839</v>
      </c>
      <c r="E98" s="112"/>
      <c r="F98" s="111">
        <f>F97*$B$83/100</f>
        <v>9.925401217815887</v>
      </c>
    </row>
    <row r="99" spans="1:10" ht="19.5" customHeight="1" x14ac:dyDescent="0.3">
      <c r="A99" s="430" t="s">
        <v>70</v>
      </c>
      <c r="B99" s="445"/>
      <c r="C99" s="169" t="s">
        <v>108</v>
      </c>
      <c r="D99" s="173">
        <f>D98/$B$98</f>
        <v>3.5442510871596992E-3</v>
      </c>
      <c r="E99" s="112"/>
      <c r="F99" s="115">
        <f>F98/$B$98</f>
        <v>3.8113540676413E-3</v>
      </c>
      <c r="G99" s="174"/>
      <c r="H99" s="104"/>
    </row>
    <row r="100" spans="1:10" ht="19.5" customHeight="1" x14ac:dyDescent="0.3">
      <c r="A100" s="432"/>
      <c r="B100" s="446"/>
      <c r="C100" s="169" t="s">
        <v>72</v>
      </c>
      <c r="D100" s="175">
        <f>$B$56/$B$116</f>
        <v>5.0000000000000001E-3</v>
      </c>
      <c r="F100" s="120"/>
      <c r="G100" s="176"/>
      <c r="H100" s="104"/>
    </row>
    <row r="101" spans="1:10" ht="18.75" x14ac:dyDescent="0.3">
      <c r="C101" s="169" t="s">
        <v>73</v>
      </c>
      <c r="D101" s="170">
        <f>D100*$B$98</f>
        <v>13.020833333333336</v>
      </c>
      <c r="F101" s="120"/>
      <c r="G101" s="174"/>
      <c r="H101" s="104"/>
    </row>
    <row r="102" spans="1:10" ht="19.5" customHeight="1" x14ac:dyDescent="0.3">
      <c r="C102" s="177" t="s">
        <v>74</v>
      </c>
      <c r="D102" s="178">
        <f>D101/B34</f>
        <v>14.411295572439936</v>
      </c>
      <c r="F102" s="124"/>
      <c r="G102" s="174"/>
      <c r="H102" s="104"/>
      <c r="J102" s="179"/>
    </row>
    <row r="103" spans="1:10" ht="18.75" x14ac:dyDescent="0.3">
      <c r="C103" s="180" t="s">
        <v>109</v>
      </c>
      <c r="D103" s="181">
        <f>AVERAGE(E91:E94,G91:G94)</f>
        <v>263981.02594217466</v>
      </c>
      <c r="F103" s="124"/>
      <c r="G103" s="182"/>
      <c r="H103" s="104"/>
      <c r="J103" s="183"/>
    </row>
    <row r="104" spans="1:10" ht="18.75" x14ac:dyDescent="0.3">
      <c r="C104" s="147" t="s">
        <v>76</v>
      </c>
      <c r="D104" s="184">
        <f>STDEV(E91:E94,G91:G94)/D103</f>
        <v>1.5225564946500477E-2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110</v>
      </c>
      <c r="B107" s="77">
        <v>900</v>
      </c>
      <c r="C107" s="224" t="s">
        <v>111</v>
      </c>
      <c r="D107" s="224" t="s">
        <v>55</v>
      </c>
      <c r="E107" s="224" t="s">
        <v>112</v>
      </c>
      <c r="F107" s="186" t="s">
        <v>113</v>
      </c>
    </row>
    <row r="108" spans="1:10" ht="26.25" customHeight="1" x14ac:dyDescent="0.4">
      <c r="A108" s="78" t="s">
        <v>114</v>
      </c>
      <c r="B108" s="79">
        <v>1</v>
      </c>
      <c r="C108" s="229">
        <v>1</v>
      </c>
      <c r="D108" s="230">
        <v>245121</v>
      </c>
      <c r="E108" s="204">
        <f t="shared" ref="E108:E113" si="1">IF(ISBLANK(D108),"-",D108/$D$103*$D$100*$B$116)</f>
        <v>4.1784991783523981</v>
      </c>
      <c r="F108" s="231">
        <f t="shared" ref="F108:F113" si="2">IF(ISBLANK(D108), "-", (E108/$B$56)*100)</f>
        <v>92.855537296719959</v>
      </c>
    </row>
    <row r="109" spans="1:10" ht="26.25" customHeight="1" x14ac:dyDescent="0.4">
      <c r="A109" s="78" t="s">
        <v>87</v>
      </c>
      <c r="B109" s="79">
        <v>1</v>
      </c>
      <c r="C109" s="225">
        <v>2</v>
      </c>
      <c r="D109" s="227">
        <v>228076</v>
      </c>
      <c r="E109" s="205">
        <f t="shared" si="1"/>
        <v>3.8879385226149603</v>
      </c>
      <c r="F109" s="232">
        <f t="shared" si="2"/>
        <v>86.398633835888006</v>
      </c>
    </row>
    <row r="110" spans="1:10" ht="26.25" customHeight="1" x14ac:dyDescent="0.4">
      <c r="A110" s="78" t="s">
        <v>88</v>
      </c>
      <c r="B110" s="79">
        <v>1</v>
      </c>
      <c r="C110" s="225">
        <v>3</v>
      </c>
      <c r="D110" s="227">
        <v>227668</v>
      </c>
      <c r="E110" s="205">
        <f t="shared" si="1"/>
        <v>3.8809834772913536</v>
      </c>
      <c r="F110" s="232">
        <f t="shared" si="2"/>
        <v>86.244077273141201</v>
      </c>
    </row>
    <row r="111" spans="1:10" ht="26.25" customHeight="1" x14ac:dyDescent="0.4">
      <c r="A111" s="78" t="s">
        <v>89</v>
      </c>
      <c r="B111" s="79">
        <v>1</v>
      </c>
      <c r="C111" s="225">
        <v>4</v>
      </c>
      <c r="D111" s="227">
        <v>229760</v>
      </c>
      <c r="E111" s="205">
        <f t="shared" si="1"/>
        <v>3.916645131254552</v>
      </c>
      <c r="F111" s="232">
        <f t="shared" si="2"/>
        <v>87.036558472323378</v>
      </c>
    </row>
    <row r="112" spans="1:10" ht="26.25" customHeight="1" x14ac:dyDescent="0.4">
      <c r="A112" s="78" t="s">
        <v>90</v>
      </c>
      <c r="B112" s="79">
        <v>1</v>
      </c>
      <c r="C112" s="225">
        <v>5</v>
      </c>
      <c r="D112" s="227">
        <v>230756</v>
      </c>
      <c r="E112" s="205">
        <f t="shared" si="1"/>
        <v>3.9336236242504152</v>
      </c>
      <c r="F112" s="232">
        <f t="shared" si="2"/>
        <v>87.413858316675899</v>
      </c>
    </row>
    <row r="113" spans="1:10" ht="27" customHeight="1" x14ac:dyDescent="0.4">
      <c r="A113" s="78" t="s">
        <v>92</v>
      </c>
      <c r="B113" s="79">
        <v>1</v>
      </c>
      <c r="C113" s="226">
        <v>6</v>
      </c>
      <c r="D113" s="228">
        <v>242248</v>
      </c>
      <c r="E113" s="206">
        <f t="shared" si="1"/>
        <v>4.1295240675320013</v>
      </c>
      <c r="F113" s="233">
        <f t="shared" si="2"/>
        <v>91.767201500711138</v>
      </c>
    </row>
    <row r="114" spans="1:10" ht="27" customHeight="1" x14ac:dyDescent="0.4">
      <c r="A114" s="78" t="s">
        <v>93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94</v>
      </c>
      <c r="B115" s="79">
        <v>1</v>
      </c>
      <c r="C115" s="187"/>
      <c r="D115" s="211" t="s">
        <v>63</v>
      </c>
      <c r="E115" s="213">
        <f>AVERAGE(E108:E113)</f>
        <v>3.9878690002159467</v>
      </c>
      <c r="F115" s="235">
        <f>AVERAGE(F108:F113)</f>
        <v>88.619311115909923</v>
      </c>
    </row>
    <row r="116" spans="1:10" ht="27" customHeight="1" x14ac:dyDescent="0.4">
      <c r="A116" s="78" t="s">
        <v>95</v>
      </c>
      <c r="B116" s="110">
        <f>(B115/B114)*(B113/B112)*(B111/B110)*(B109/B108)*B107</f>
        <v>900</v>
      </c>
      <c r="C116" s="188"/>
      <c r="D116" s="212" t="s">
        <v>76</v>
      </c>
      <c r="E116" s="210">
        <f>STDEV(E108:E113)/E115</f>
        <v>3.2854800024834388E-2</v>
      </c>
      <c r="F116" s="189">
        <f>STDEV(F108:F113)/F115</f>
        <v>3.2854800024834367E-2</v>
      </c>
      <c r="I116" s="52"/>
    </row>
    <row r="117" spans="1:10" ht="27" customHeight="1" x14ac:dyDescent="0.4">
      <c r="A117" s="430" t="s">
        <v>70</v>
      </c>
      <c r="B117" s="431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432"/>
      <c r="B118" s="433"/>
      <c r="C118" s="52"/>
      <c r="D118" s="214"/>
      <c r="E118" s="458" t="s">
        <v>115</v>
      </c>
      <c r="F118" s="459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116</v>
      </c>
      <c r="E119" s="217">
        <f>MIN(E108:E113)</f>
        <v>3.8809834772913536</v>
      </c>
      <c r="F119" s="236">
        <f>MIN(F108:F113)</f>
        <v>86.244077273141201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117</v>
      </c>
      <c r="E120" s="218">
        <f>MAX(E108:E113)</f>
        <v>4.1784991783523981</v>
      </c>
      <c r="F120" s="237">
        <f>MAX(F108:F113)</f>
        <v>92.855537296719959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98</v>
      </c>
      <c r="B124" s="151" t="s">
        <v>118</v>
      </c>
      <c r="C124" s="434" t="str">
        <f>B26</f>
        <v>Naltrexone</v>
      </c>
      <c r="D124" s="434"/>
      <c r="E124" s="152" t="s">
        <v>119</v>
      </c>
      <c r="F124" s="152"/>
      <c r="G124" s="238">
        <f>F115</f>
        <v>88.619311115909923</v>
      </c>
      <c r="H124" s="52"/>
      <c r="I124" s="52"/>
    </row>
    <row r="125" spans="1:10" ht="45.75" customHeight="1" x14ac:dyDescent="0.65">
      <c r="A125" s="62"/>
      <c r="B125" s="151" t="s">
        <v>120</v>
      </c>
      <c r="C125" s="63" t="s">
        <v>121</v>
      </c>
      <c r="D125" s="238">
        <f>MIN(F108:F113)</f>
        <v>86.244077273141201</v>
      </c>
      <c r="E125" s="163" t="s">
        <v>122</v>
      </c>
      <c r="F125" s="238">
        <f>MAX(F108:F113)</f>
        <v>92.855537296719959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435" t="s">
        <v>25</v>
      </c>
      <c r="C127" s="435"/>
      <c r="E127" s="158" t="s">
        <v>26</v>
      </c>
      <c r="F127" s="193"/>
      <c r="G127" s="435" t="s">
        <v>27</v>
      </c>
      <c r="H127" s="435"/>
    </row>
    <row r="128" spans="1:10" ht="69.95" customHeight="1" x14ac:dyDescent="0.3">
      <c r="A128" s="194" t="s">
        <v>28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29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1" priority="1" operator="greaterThan">
      <formula>0.02</formula>
    </cfRule>
  </conditionalFormatting>
  <conditionalFormatting sqref="D51">
    <cfRule type="cellIs" dxfId="30" priority="2" operator="greaterThan">
      <formula>0.02</formula>
    </cfRule>
  </conditionalFormatting>
  <conditionalFormatting sqref="G73">
    <cfRule type="cellIs" dxfId="29" priority="3" operator="greaterThan">
      <formula>0.02</formula>
    </cfRule>
  </conditionalFormatting>
  <conditionalFormatting sqref="H73">
    <cfRule type="cellIs" dxfId="28" priority="4" operator="greaterThan">
      <formula>0.02</formula>
    </cfRule>
  </conditionalFormatting>
  <conditionalFormatting sqref="D104">
    <cfRule type="cellIs" dxfId="27" priority="5" operator="greaterThan">
      <formula>0.02</formula>
    </cfRule>
  </conditionalFormatting>
  <conditionalFormatting sqref="I39">
    <cfRule type="cellIs" dxfId="26" priority="6" operator="lessThanOrEqual">
      <formula>0.02</formula>
    </cfRule>
  </conditionalFormatting>
  <conditionalFormatting sqref="I39">
    <cfRule type="cellIs" dxfId="25" priority="7" operator="greaterThan">
      <formula>0.02</formula>
    </cfRule>
  </conditionalFormatting>
  <conditionalFormatting sqref="I92">
    <cfRule type="cellIs" dxfId="24" priority="8" operator="lessThanOrEqual">
      <formula>0.02</formula>
    </cfRule>
  </conditionalFormatting>
  <conditionalFormatting sqref="I92">
    <cfRule type="cellIs" dxfId="23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zoomScale="60" zoomScaleNormal="70" workbookViewId="0">
      <selection sqref="A1:G8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28" t="s">
        <v>30</v>
      </c>
      <c r="B1" s="428"/>
      <c r="C1" s="428"/>
      <c r="D1" s="428"/>
      <c r="E1" s="428"/>
      <c r="F1" s="428"/>
      <c r="G1" s="428"/>
    </row>
    <row r="2" spans="1:7" x14ac:dyDescent="0.2">
      <c r="A2" s="428"/>
      <c r="B2" s="428"/>
      <c r="C2" s="428"/>
      <c r="D2" s="428"/>
      <c r="E2" s="428"/>
      <c r="F2" s="428"/>
      <c r="G2" s="428"/>
    </row>
    <row r="3" spans="1:7" x14ac:dyDescent="0.2">
      <c r="A3" s="428"/>
      <c r="B3" s="428"/>
      <c r="C3" s="428"/>
      <c r="D3" s="428"/>
      <c r="E3" s="428"/>
      <c r="F3" s="428"/>
      <c r="G3" s="428"/>
    </row>
    <row r="4" spans="1:7" x14ac:dyDescent="0.2">
      <c r="A4" s="428"/>
      <c r="B4" s="428"/>
      <c r="C4" s="428"/>
      <c r="D4" s="428"/>
      <c r="E4" s="428"/>
      <c r="F4" s="428"/>
      <c r="G4" s="428"/>
    </row>
    <row r="5" spans="1:7" x14ac:dyDescent="0.2">
      <c r="A5" s="428"/>
      <c r="B5" s="428"/>
      <c r="C5" s="428"/>
      <c r="D5" s="428"/>
      <c r="E5" s="428"/>
      <c r="F5" s="428"/>
      <c r="G5" s="428"/>
    </row>
    <row r="6" spans="1:7" x14ac:dyDescent="0.2">
      <c r="A6" s="428"/>
      <c r="B6" s="428"/>
      <c r="C6" s="428"/>
      <c r="D6" s="428"/>
      <c r="E6" s="428"/>
      <c r="F6" s="428"/>
      <c r="G6" s="428"/>
    </row>
    <row r="7" spans="1:7" x14ac:dyDescent="0.2">
      <c r="A7" s="428"/>
      <c r="B7" s="428"/>
      <c r="C7" s="428"/>
      <c r="D7" s="428"/>
      <c r="E7" s="428"/>
      <c r="F7" s="428"/>
      <c r="G7" s="428"/>
    </row>
    <row r="8" spans="1:7" x14ac:dyDescent="0.2">
      <c r="A8" s="429" t="s">
        <v>31</v>
      </c>
      <c r="B8" s="429"/>
      <c r="C8" s="429"/>
      <c r="D8" s="429"/>
      <c r="E8" s="429"/>
      <c r="F8" s="429"/>
      <c r="G8" s="429"/>
    </row>
    <row r="9" spans="1:7" x14ac:dyDescent="0.2">
      <c r="A9" s="429"/>
      <c r="B9" s="429"/>
      <c r="C9" s="429"/>
      <c r="D9" s="429"/>
      <c r="E9" s="429"/>
      <c r="F9" s="429"/>
      <c r="G9" s="429"/>
    </row>
    <row r="10" spans="1:7" x14ac:dyDescent="0.2">
      <c r="A10" s="429"/>
      <c r="B10" s="429"/>
      <c r="C10" s="429"/>
      <c r="D10" s="429"/>
      <c r="E10" s="429"/>
      <c r="F10" s="429"/>
      <c r="G10" s="429"/>
    </row>
    <row r="11" spans="1:7" x14ac:dyDescent="0.2">
      <c r="A11" s="429"/>
      <c r="B11" s="429"/>
      <c r="C11" s="429"/>
      <c r="D11" s="429"/>
      <c r="E11" s="429"/>
      <c r="F11" s="429"/>
      <c r="G11" s="429"/>
    </row>
    <row r="12" spans="1:7" x14ac:dyDescent="0.2">
      <c r="A12" s="429"/>
      <c r="B12" s="429"/>
      <c r="C12" s="429"/>
      <c r="D12" s="429"/>
      <c r="E12" s="429"/>
      <c r="F12" s="429"/>
      <c r="G12" s="429"/>
    </row>
    <row r="13" spans="1:7" x14ac:dyDescent="0.2">
      <c r="A13" s="429"/>
      <c r="B13" s="429"/>
      <c r="C13" s="429"/>
      <c r="D13" s="429"/>
      <c r="E13" s="429"/>
      <c r="F13" s="429"/>
      <c r="G13" s="429"/>
    </row>
    <row r="14" spans="1:7" x14ac:dyDescent="0.2">
      <c r="A14" s="429"/>
      <c r="B14" s="429"/>
      <c r="C14" s="429"/>
      <c r="D14" s="429"/>
      <c r="E14" s="429"/>
      <c r="F14" s="429"/>
      <c r="G14" s="429"/>
    </row>
    <row r="15" spans="1:7" ht="19.5" customHeight="1" x14ac:dyDescent="0.3">
      <c r="A15" s="239"/>
      <c r="B15" s="239"/>
      <c r="C15" s="239"/>
      <c r="D15" s="239"/>
      <c r="E15" s="239"/>
      <c r="F15" s="239"/>
      <c r="G15" s="239"/>
    </row>
    <row r="16" spans="1:7" ht="19.5" customHeight="1" x14ac:dyDescent="0.3">
      <c r="A16" s="461" t="s">
        <v>32</v>
      </c>
      <c r="B16" s="462"/>
      <c r="C16" s="462"/>
      <c r="D16" s="462"/>
      <c r="E16" s="462"/>
      <c r="F16" s="462"/>
      <c r="G16" s="462"/>
    </row>
    <row r="17" spans="1:7" ht="18.75" customHeight="1" x14ac:dyDescent="0.3">
      <c r="A17" s="240" t="s">
        <v>33</v>
      </c>
      <c r="B17" s="240"/>
      <c r="C17" s="239"/>
      <c r="D17" s="239"/>
      <c r="E17" s="239"/>
      <c r="F17" s="239"/>
      <c r="G17" s="239"/>
    </row>
    <row r="18" spans="1:7" ht="26.25" customHeight="1" x14ac:dyDescent="0.4">
      <c r="A18" s="241" t="s">
        <v>34</v>
      </c>
      <c r="B18" s="460" t="s">
        <v>5</v>
      </c>
      <c r="C18" s="460"/>
      <c r="D18" s="242"/>
      <c r="E18" s="242"/>
      <c r="F18" s="239"/>
      <c r="G18" s="239"/>
    </row>
    <row r="19" spans="1:7" ht="26.25" customHeight="1" x14ac:dyDescent="0.4">
      <c r="A19" s="241" t="s">
        <v>35</v>
      </c>
      <c r="B19" s="425" t="s">
        <v>7</v>
      </c>
      <c r="C19" s="239">
        <v>36</v>
      </c>
      <c r="E19" s="239"/>
      <c r="F19" s="239"/>
      <c r="G19" s="239"/>
    </row>
    <row r="20" spans="1:7" ht="26.25" customHeight="1" x14ac:dyDescent="0.4">
      <c r="A20" s="241" t="s">
        <v>36</v>
      </c>
      <c r="B20" s="465" t="s">
        <v>9</v>
      </c>
      <c r="C20" s="465"/>
      <c r="D20" s="239"/>
      <c r="E20" s="239"/>
      <c r="F20" s="239"/>
      <c r="G20" s="239"/>
    </row>
    <row r="21" spans="1:7" ht="26.25" customHeight="1" x14ac:dyDescent="0.4">
      <c r="A21" s="241" t="s">
        <v>37</v>
      </c>
      <c r="B21" s="243" t="s">
        <v>146</v>
      </c>
      <c r="C21" s="243"/>
      <c r="D21" s="244"/>
      <c r="E21" s="244"/>
      <c r="F21" s="244"/>
      <c r="G21" s="244"/>
    </row>
    <row r="22" spans="1:7" ht="26.25" customHeight="1" x14ac:dyDescent="0.4">
      <c r="A22" s="241" t="s">
        <v>38</v>
      </c>
      <c r="B22" s="59" t="s">
        <v>12</v>
      </c>
      <c r="C22" s="246"/>
      <c r="D22" s="239"/>
      <c r="E22" s="239"/>
      <c r="F22" s="239"/>
      <c r="G22" s="239"/>
    </row>
    <row r="23" spans="1:7" ht="26.25" customHeight="1" x14ac:dyDescent="0.4">
      <c r="A23" s="241" t="s">
        <v>39</v>
      </c>
      <c r="B23" s="245"/>
      <c r="C23" s="246"/>
      <c r="D23" s="239"/>
      <c r="E23" s="239"/>
      <c r="F23" s="239"/>
      <c r="G23" s="239"/>
    </row>
    <row r="24" spans="1:7" ht="18.75" customHeight="1" x14ac:dyDescent="0.3">
      <c r="A24" s="241"/>
      <c r="B24" s="247"/>
      <c r="C24" s="239"/>
      <c r="D24" s="239"/>
      <c r="E24" s="239"/>
      <c r="F24" s="239"/>
      <c r="G24" s="239"/>
    </row>
    <row r="25" spans="1:7" ht="18.75" customHeight="1" x14ac:dyDescent="0.3">
      <c r="A25" s="248" t="s">
        <v>1</v>
      </c>
      <c r="B25" s="247"/>
      <c r="C25" s="239"/>
      <c r="D25" s="239"/>
      <c r="E25" s="239"/>
      <c r="F25" s="239"/>
      <c r="G25" s="239"/>
    </row>
    <row r="26" spans="1:7" ht="26.25" customHeight="1" x14ac:dyDescent="0.4">
      <c r="A26" s="249" t="s">
        <v>4</v>
      </c>
      <c r="B26" s="468" t="s">
        <v>147</v>
      </c>
      <c r="C26" s="468"/>
      <c r="D26" s="239"/>
      <c r="E26" s="239"/>
      <c r="F26" s="239"/>
      <c r="G26" s="239"/>
    </row>
    <row r="27" spans="1:7" ht="26.25" customHeight="1" x14ac:dyDescent="0.4">
      <c r="A27" s="250" t="s">
        <v>40</v>
      </c>
      <c r="B27" s="466" t="s">
        <v>148</v>
      </c>
      <c r="C27" s="466"/>
      <c r="D27" s="239"/>
      <c r="E27" s="239"/>
      <c r="F27" s="239"/>
      <c r="G27" s="239"/>
    </row>
    <row r="28" spans="1:7" ht="27" customHeight="1" x14ac:dyDescent="0.4">
      <c r="A28" s="250" t="s">
        <v>6</v>
      </c>
      <c r="B28" s="251">
        <v>98.7</v>
      </c>
      <c r="C28" s="239"/>
      <c r="D28" s="239"/>
      <c r="E28" s="239"/>
      <c r="F28" s="239"/>
      <c r="G28" s="239"/>
    </row>
    <row r="29" spans="1:7" ht="27" customHeight="1" x14ac:dyDescent="0.4">
      <c r="A29" s="250" t="s">
        <v>41</v>
      </c>
      <c r="B29" s="252">
        <v>0</v>
      </c>
      <c r="C29" s="439" t="s">
        <v>123</v>
      </c>
      <c r="D29" s="440"/>
      <c r="E29" s="440"/>
      <c r="F29" s="440"/>
      <c r="G29" s="441"/>
    </row>
    <row r="30" spans="1:7" ht="19.5" customHeight="1" x14ac:dyDescent="0.3">
      <c r="A30" s="250" t="s">
        <v>43</v>
      </c>
      <c r="B30" s="254">
        <f>B28-B29</f>
        <v>98.7</v>
      </c>
      <c r="C30" s="255"/>
      <c r="D30" s="255"/>
      <c r="E30" s="255"/>
      <c r="F30" s="255"/>
      <c r="G30" s="255"/>
    </row>
    <row r="31" spans="1:7" ht="27" customHeight="1" x14ac:dyDescent="0.4">
      <c r="A31" s="250" t="s">
        <v>44</v>
      </c>
      <c r="B31" s="421">
        <v>341.40699999999998</v>
      </c>
      <c r="C31" s="439" t="s">
        <v>45</v>
      </c>
      <c r="D31" s="440"/>
      <c r="E31" s="440"/>
      <c r="F31" s="440"/>
      <c r="G31" s="441"/>
    </row>
    <row r="32" spans="1:7" ht="27" customHeight="1" x14ac:dyDescent="0.4">
      <c r="A32" s="250" t="s">
        <v>46</v>
      </c>
      <c r="B32" s="421">
        <v>377.86500000000001</v>
      </c>
      <c r="C32" s="439" t="s">
        <v>47</v>
      </c>
      <c r="D32" s="440"/>
      <c r="E32" s="440"/>
      <c r="F32" s="440"/>
      <c r="G32" s="441"/>
    </row>
    <row r="33" spans="1:7" ht="18.75" customHeight="1" x14ac:dyDescent="0.3">
      <c r="A33" s="250"/>
      <c r="B33" s="257"/>
      <c r="C33" s="258"/>
      <c r="D33" s="258"/>
      <c r="E33" s="258"/>
      <c r="F33" s="258"/>
      <c r="G33" s="258"/>
    </row>
    <row r="34" spans="1:7" ht="18.75" customHeight="1" x14ac:dyDescent="0.3">
      <c r="A34" s="250" t="s">
        <v>48</v>
      </c>
      <c r="B34" s="259">
        <f>B31/B32</f>
        <v>0.90351580590951786</v>
      </c>
      <c r="C34" s="239" t="s">
        <v>49</v>
      </c>
      <c r="D34" s="239"/>
      <c r="E34" s="239"/>
      <c r="F34" s="239"/>
      <c r="G34" s="239"/>
    </row>
    <row r="35" spans="1:7" ht="19.5" customHeight="1" x14ac:dyDescent="0.3">
      <c r="A35" s="250"/>
      <c r="B35" s="254"/>
      <c r="C35" s="253"/>
      <c r="D35" s="253"/>
      <c r="E35" s="253"/>
      <c r="F35" s="253"/>
      <c r="G35" s="239"/>
    </row>
    <row r="36" spans="1:7" ht="27" customHeight="1" x14ac:dyDescent="0.4">
      <c r="A36" s="260" t="s">
        <v>124</v>
      </c>
      <c r="B36" s="261">
        <v>25</v>
      </c>
      <c r="C36" s="239"/>
      <c r="D36" s="442" t="s">
        <v>51</v>
      </c>
      <c r="E36" s="467"/>
      <c r="F36" s="442" t="s">
        <v>52</v>
      </c>
      <c r="G36" s="443"/>
    </row>
    <row r="37" spans="1:7" ht="26.25" customHeight="1" x14ac:dyDescent="0.4">
      <c r="A37" s="262" t="s">
        <v>53</v>
      </c>
      <c r="B37" s="263">
        <v>3</v>
      </c>
      <c r="C37" s="264" t="s">
        <v>54</v>
      </c>
      <c r="D37" s="265" t="s">
        <v>55</v>
      </c>
      <c r="E37" s="266" t="s">
        <v>56</v>
      </c>
      <c r="F37" s="265" t="s">
        <v>55</v>
      </c>
      <c r="G37" s="267" t="s">
        <v>56</v>
      </c>
    </row>
    <row r="38" spans="1:7" ht="26.25" customHeight="1" x14ac:dyDescent="0.4">
      <c r="A38" s="262" t="s">
        <v>58</v>
      </c>
      <c r="B38" s="263">
        <v>25</v>
      </c>
      <c r="C38" s="268">
        <v>1</v>
      </c>
      <c r="D38" s="422">
        <v>1827115</v>
      </c>
      <c r="E38" s="270">
        <f>IF(ISBLANK(D38),"-",$D$48/$D$45*D38)</f>
        <v>1694188.8676436876</v>
      </c>
      <c r="F38" s="422">
        <v>2014269</v>
      </c>
      <c r="G38" s="271">
        <f>IF(ISBLANK(F38),"-",$D$48/$F$45*F38)</f>
        <v>1736835.1310631898</v>
      </c>
    </row>
    <row r="39" spans="1:7" ht="26.25" customHeight="1" x14ac:dyDescent="0.4">
      <c r="A39" s="262" t="s">
        <v>59</v>
      </c>
      <c r="B39" s="263">
        <v>1</v>
      </c>
      <c r="C39" s="272">
        <v>2</v>
      </c>
      <c r="D39" s="423">
        <v>1830856</v>
      </c>
      <c r="E39" s="274">
        <f>IF(ISBLANK(D39),"-",$D$48/$D$45*D39)</f>
        <v>1697657.7026944945</v>
      </c>
      <c r="F39" s="423">
        <v>1983896</v>
      </c>
      <c r="G39" s="275">
        <f>IF(ISBLANK(F39),"-",$D$48/$F$45*F39)</f>
        <v>1710645.534025365</v>
      </c>
    </row>
    <row r="40" spans="1:7" ht="26.25" customHeight="1" x14ac:dyDescent="0.4">
      <c r="A40" s="262" t="s">
        <v>60</v>
      </c>
      <c r="B40" s="263">
        <v>1</v>
      </c>
      <c r="C40" s="272">
        <v>3</v>
      </c>
      <c r="D40" s="423">
        <v>1828193</v>
      </c>
      <c r="E40" s="274">
        <f>IF(ISBLANK(D40),"-",$D$48/$D$45*D40)</f>
        <v>1695188.4410691806</v>
      </c>
      <c r="F40" s="423">
        <v>1992105</v>
      </c>
      <c r="G40" s="275">
        <f>IF(ISBLANK(F40),"-",$D$48/$F$45*F40)</f>
        <v>1717723.873408485</v>
      </c>
    </row>
    <row r="41" spans="1:7" ht="26.25" customHeight="1" x14ac:dyDescent="0.4">
      <c r="A41" s="262" t="s">
        <v>61</v>
      </c>
      <c r="B41" s="263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</row>
    <row r="42" spans="1:7" ht="27" customHeight="1" x14ac:dyDescent="0.4">
      <c r="A42" s="262" t="s">
        <v>62</v>
      </c>
      <c r="B42" s="263">
        <v>1</v>
      </c>
      <c r="C42" s="280" t="s">
        <v>63</v>
      </c>
      <c r="D42" s="281">
        <f>AVERAGE(D38:D41)</f>
        <v>1828721.3333333333</v>
      </c>
      <c r="E42" s="282">
        <f>AVERAGE(E38:E41)</f>
        <v>1695678.3371357874</v>
      </c>
      <c r="F42" s="281">
        <f>AVERAGE(F38:F41)</f>
        <v>1996756.6666666667</v>
      </c>
      <c r="G42" s="283">
        <f>AVERAGE(G38:G41)</f>
        <v>1721734.8461656801</v>
      </c>
    </row>
    <row r="43" spans="1:7" ht="26.25" customHeight="1" x14ac:dyDescent="0.4">
      <c r="A43" s="262" t="s">
        <v>64</v>
      </c>
      <c r="B43" s="263">
        <v>1</v>
      </c>
      <c r="C43" s="284" t="s">
        <v>105</v>
      </c>
      <c r="D43" s="285">
        <v>10.35</v>
      </c>
      <c r="E43" s="286"/>
      <c r="F43" s="285">
        <v>11.13</v>
      </c>
      <c r="G43" s="239"/>
    </row>
    <row r="44" spans="1:7" ht="26.25" customHeight="1" x14ac:dyDescent="0.4">
      <c r="A44" s="262" t="s">
        <v>66</v>
      </c>
      <c r="B44" s="263">
        <v>1</v>
      </c>
      <c r="C44" s="287" t="s">
        <v>106</v>
      </c>
      <c r="D44" s="288">
        <f>D43*$B$34</f>
        <v>9.3513885911635093</v>
      </c>
      <c r="E44" s="289"/>
      <c r="F44" s="288">
        <f>F43*$B$34</f>
        <v>10.056130919772935</v>
      </c>
      <c r="G44" s="239"/>
    </row>
    <row r="45" spans="1:7" ht="19.5" customHeight="1" x14ac:dyDescent="0.3">
      <c r="A45" s="262" t="s">
        <v>68</v>
      </c>
      <c r="B45" s="290">
        <f>(B44/B43)*(B42/B41)*(B40/B39)*(B38/B37)*B36</f>
        <v>208.33333333333334</v>
      </c>
      <c r="C45" s="287" t="s">
        <v>69</v>
      </c>
      <c r="D45" s="291">
        <f>D44*$B$30/100</f>
        <v>9.2298205394783839</v>
      </c>
      <c r="E45" s="292"/>
      <c r="F45" s="291">
        <f>F44*$B$30/100</f>
        <v>9.925401217815887</v>
      </c>
      <c r="G45" s="239"/>
    </row>
    <row r="46" spans="1:7" ht="19.5" customHeight="1" x14ac:dyDescent="0.3">
      <c r="A46" s="430" t="s">
        <v>70</v>
      </c>
      <c r="B46" s="431"/>
      <c r="C46" s="287" t="s">
        <v>71</v>
      </c>
      <c r="D46" s="288">
        <f>D45/$B$45</f>
        <v>4.4303138589496242E-2</v>
      </c>
      <c r="E46" s="292"/>
      <c r="F46" s="293">
        <f>F45/$B$45</f>
        <v>4.7641925845516256E-2</v>
      </c>
      <c r="G46" s="239"/>
    </row>
    <row r="47" spans="1:7" ht="27" customHeight="1" x14ac:dyDescent="0.4">
      <c r="A47" s="432"/>
      <c r="B47" s="433"/>
      <c r="C47" s="294" t="s">
        <v>125</v>
      </c>
      <c r="D47" s="295">
        <v>4.1079999999999998E-2</v>
      </c>
      <c r="E47" s="239"/>
      <c r="F47" s="296"/>
      <c r="G47" s="239"/>
    </row>
    <row r="48" spans="1:7" ht="18.75" customHeight="1" x14ac:dyDescent="0.3">
      <c r="A48" s="239"/>
      <c r="B48" s="239"/>
      <c r="C48" s="297" t="s">
        <v>73</v>
      </c>
      <c r="D48" s="291">
        <f>D47*$B$45</f>
        <v>8.5583333333333336</v>
      </c>
      <c r="E48" s="239"/>
      <c r="F48" s="296"/>
      <c r="G48" s="239"/>
    </row>
    <row r="49" spans="1:7" ht="19.5" customHeight="1" x14ac:dyDescent="0.3">
      <c r="A49" s="239"/>
      <c r="B49" s="239"/>
      <c r="C49" s="298" t="s">
        <v>74</v>
      </c>
      <c r="D49" s="299">
        <f>D48/B34</f>
        <v>9.4722563538533198</v>
      </c>
      <c r="E49" s="239"/>
      <c r="F49" s="296"/>
      <c r="G49" s="239"/>
    </row>
    <row r="50" spans="1:7" ht="18.75" customHeight="1" x14ac:dyDescent="0.3">
      <c r="A50" s="239"/>
      <c r="B50" s="239"/>
      <c r="C50" s="260" t="s">
        <v>75</v>
      </c>
      <c r="D50" s="300">
        <f>AVERAGE(E38:E41,G38:G41)</f>
        <v>1708706.5916507337</v>
      </c>
      <c r="E50" s="239"/>
      <c r="F50" s="301"/>
      <c r="G50" s="239"/>
    </row>
    <row r="51" spans="1:7" ht="18.75" customHeight="1" x14ac:dyDescent="0.3">
      <c r="A51" s="239"/>
      <c r="B51" s="239"/>
      <c r="C51" s="262" t="s">
        <v>76</v>
      </c>
      <c r="D51" s="302">
        <f>STDEV(E38:E41,G38:G41)/D50</f>
        <v>9.76442259789192E-3</v>
      </c>
      <c r="E51" s="239"/>
      <c r="F51" s="301"/>
      <c r="G51" s="239"/>
    </row>
    <row r="52" spans="1:7" ht="19.5" customHeight="1" x14ac:dyDescent="0.3">
      <c r="A52" s="239"/>
      <c r="B52" s="239"/>
      <c r="C52" s="303" t="s">
        <v>20</v>
      </c>
      <c r="D52" s="304">
        <f>COUNT(E38:E41,G38:G41)</f>
        <v>6</v>
      </c>
      <c r="E52" s="239"/>
      <c r="F52" s="301"/>
      <c r="G52" s="239"/>
    </row>
    <row r="53" spans="1:7" ht="18.75" customHeight="1" x14ac:dyDescent="0.3">
      <c r="A53" s="239"/>
      <c r="B53" s="239"/>
      <c r="C53" s="239"/>
      <c r="D53" s="239"/>
      <c r="E53" s="239"/>
      <c r="F53" s="239"/>
      <c r="G53" s="239"/>
    </row>
    <row r="54" spans="1:7" ht="18.75" customHeight="1" x14ac:dyDescent="0.3">
      <c r="A54" s="240" t="s">
        <v>1</v>
      </c>
      <c r="B54" s="305" t="s">
        <v>77</v>
      </c>
      <c r="C54" s="239"/>
      <c r="D54" s="239"/>
      <c r="E54" s="239"/>
      <c r="F54" s="239"/>
      <c r="G54" s="239"/>
    </row>
    <row r="55" spans="1:7" ht="18.75" customHeight="1" x14ac:dyDescent="0.3">
      <c r="A55" s="239" t="s">
        <v>78</v>
      </c>
      <c r="B55" s="306" t="str">
        <f>B21</f>
        <v>EACH CAPSULE CONTAINS 4.5 MG NALTREXONE HYDROCHLORIDE</v>
      </c>
      <c r="C55" s="239"/>
      <c r="D55" s="239"/>
      <c r="E55" s="239"/>
      <c r="F55" s="239"/>
      <c r="G55" s="239"/>
    </row>
    <row r="56" spans="1:7" ht="26.25" customHeight="1" x14ac:dyDescent="0.4">
      <c r="A56" s="307" t="s">
        <v>79</v>
      </c>
      <c r="B56" s="308">
        <v>4.5</v>
      </c>
      <c r="C56" s="239" t="str">
        <f>B20</f>
        <v xml:space="preserve">Naltrexone Hydrochloride 4.5mg </v>
      </c>
      <c r="D56" s="239"/>
      <c r="E56" s="239"/>
      <c r="F56" s="239"/>
      <c r="G56" s="239"/>
    </row>
    <row r="57" spans="1:7" ht="17.25" customHeight="1" x14ac:dyDescent="0.3">
      <c r="A57" s="309"/>
      <c r="B57" s="309"/>
      <c r="C57" s="309"/>
      <c r="D57" s="310"/>
      <c r="E57" s="310"/>
      <c r="F57" s="310"/>
      <c r="G57" s="310"/>
    </row>
    <row r="58" spans="1:7" ht="57.75" customHeight="1" x14ac:dyDescent="0.4">
      <c r="A58" s="260" t="s">
        <v>126</v>
      </c>
      <c r="B58" s="261">
        <v>100</v>
      </c>
      <c r="C58" s="311" t="s">
        <v>127</v>
      </c>
      <c r="D58" s="312" t="s">
        <v>128</v>
      </c>
      <c r="E58" s="313" t="s">
        <v>129</v>
      </c>
      <c r="F58" s="314" t="s">
        <v>130</v>
      </c>
      <c r="G58" s="315" t="s">
        <v>131</v>
      </c>
    </row>
    <row r="59" spans="1:7" ht="26.25" customHeight="1" x14ac:dyDescent="0.4">
      <c r="A59" s="262" t="s">
        <v>53</v>
      </c>
      <c r="B59" s="263">
        <v>1</v>
      </c>
      <c r="C59" s="316">
        <v>1</v>
      </c>
      <c r="D59" s="418">
        <v>1876370</v>
      </c>
      <c r="E59" s="317">
        <f t="shared" ref="E59:E68" si="0">IF(ISBLANK(D59),"-",D59/$D$50*$D$47*$B$67)</f>
        <v>4.5110892634606108</v>
      </c>
      <c r="F59" s="318">
        <f t="shared" ref="F59:F68" si="1">IF(ISBLANK(D59),"-",E59/$E$70*100)</f>
        <v>101.31371388137238</v>
      </c>
      <c r="G59" s="319">
        <f t="shared" ref="G59:G68" si="2">IF(ISBLANK(D59),"-",E59/$B$56*100)</f>
        <v>100.24642807690248</v>
      </c>
    </row>
    <row r="60" spans="1:7" ht="26.25" customHeight="1" x14ac:dyDescent="0.4">
      <c r="A60" s="262" t="s">
        <v>58</v>
      </c>
      <c r="B60" s="263">
        <v>1</v>
      </c>
      <c r="C60" s="320">
        <v>2</v>
      </c>
      <c r="D60" s="419">
        <v>1885164</v>
      </c>
      <c r="E60" s="321">
        <f t="shared" si="0"/>
        <v>4.5322314257115925</v>
      </c>
      <c r="F60" s="322">
        <f t="shared" si="1"/>
        <v>101.78854176706275</v>
      </c>
      <c r="G60" s="323">
        <f t="shared" si="2"/>
        <v>100.71625390470204</v>
      </c>
    </row>
    <row r="61" spans="1:7" ht="26.25" customHeight="1" x14ac:dyDescent="0.4">
      <c r="A61" s="262" t="s">
        <v>59</v>
      </c>
      <c r="B61" s="263">
        <v>1</v>
      </c>
      <c r="C61" s="320">
        <v>3</v>
      </c>
      <c r="D61" s="419">
        <v>1834245</v>
      </c>
      <c r="E61" s="321">
        <f t="shared" si="0"/>
        <v>4.4098141230441268</v>
      </c>
      <c r="F61" s="322">
        <f t="shared" si="1"/>
        <v>99.039194358435651</v>
      </c>
      <c r="G61" s="323">
        <f t="shared" si="2"/>
        <v>97.995869400980595</v>
      </c>
    </row>
    <row r="62" spans="1:7" ht="26.25" customHeight="1" x14ac:dyDescent="0.4">
      <c r="A62" s="262" t="s">
        <v>60</v>
      </c>
      <c r="B62" s="263">
        <v>1</v>
      </c>
      <c r="C62" s="320">
        <v>4</v>
      </c>
      <c r="D62" s="419">
        <v>1796780</v>
      </c>
      <c r="E62" s="321">
        <f t="shared" si="0"/>
        <v>4.3197423572114007</v>
      </c>
      <c r="F62" s="322">
        <f t="shared" si="1"/>
        <v>97.016289339401226</v>
      </c>
      <c r="G62" s="323">
        <f t="shared" si="2"/>
        <v>95.994274604697793</v>
      </c>
    </row>
    <row r="63" spans="1:7" ht="26.25" customHeight="1" x14ac:dyDescent="0.4">
      <c r="A63" s="262" t="s">
        <v>61</v>
      </c>
      <c r="B63" s="263">
        <v>1</v>
      </c>
      <c r="C63" s="320">
        <v>5</v>
      </c>
      <c r="D63" s="419">
        <v>1822919</v>
      </c>
      <c r="E63" s="321">
        <f t="shared" si="0"/>
        <v>4.3825846336587952</v>
      </c>
      <c r="F63" s="322">
        <f t="shared" si="1"/>
        <v>98.427652325989797</v>
      </c>
      <c r="G63" s="323">
        <f t="shared" si="2"/>
        <v>97.390769636862117</v>
      </c>
    </row>
    <row r="64" spans="1:7" ht="26.25" customHeight="1" x14ac:dyDescent="0.4">
      <c r="A64" s="262" t="s">
        <v>62</v>
      </c>
      <c r="B64" s="263">
        <v>1</v>
      </c>
      <c r="C64" s="320">
        <v>6</v>
      </c>
      <c r="D64" s="424">
        <v>1843515</v>
      </c>
      <c r="E64" s="321">
        <f t="shared" si="0"/>
        <v>4.4321006643298428</v>
      </c>
      <c r="F64" s="322">
        <f t="shared" si="1"/>
        <v>99.539723639803555</v>
      </c>
      <c r="G64" s="323">
        <f t="shared" si="2"/>
        <v>98.491125873996509</v>
      </c>
    </row>
    <row r="65" spans="1:7" ht="26.25" customHeight="1" x14ac:dyDescent="0.4">
      <c r="A65" s="262" t="s">
        <v>64</v>
      </c>
      <c r="B65" s="263">
        <v>1</v>
      </c>
      <c r="C65" s="320">
        <v>7</v>
      </c>
      <c r="D65" s="419">
        <v>1849288</v>
      </c>
      <c r="E65" s="321">
        <f t="shared" si="0"/>
        <v>4.4459798663624692</v>
      </c>
      <c r="F65" s="322">
        <f t="shared" si="1"/>
        <v>99.85143405418728</v>
      </c>
      <c r="G65" s="323">
        <f t="shared" si="2"/>
        <v>98.799552585832657</v>
      </c>
    </row>
    <row r="66" spans="1:7" ht="26.25" customHeight="1" x14ac:dyDescent="0.4">
      <c r="A66" s="262" t="s">
        <v>66</v>
      </c>
      <c r="B66" s="263">
        <v>1</v>
      </c>
      <c r="C66" s="320">
        <v>8</v>
      </c>
      <c r="D66" s="419">
        <v>1848176</v>
      </c>
      <c r="E66" s="321">
        <f t="shared" si="0"/>
        <v>4.4433064430712381</v>
      </c>
      <c r="F66" s="322">
        <f t="shared" si="1"/>
        <v>99.791392138234642</v>
      </c>
      <c r="G66" s="323">
        <f t="shared" si="2"/>
        <v>98.740143179360857</v>
      </c>
    </row>
    <row r="67" spans="1:7" ht="27" customHeight="1" x14ac:dyDescent="0.4">
      <c r="A67" s="262" t="s">
        <v>68</v>
      </c>
      <c r="B67" s="290">
        <f>(B66/B65)*(B64/B63)*(B62/B61)*(B60/B59)*B58</f>
        <v>100</v>
      </c>
      <c r="C67" s="320">
        <v>9</v>
      </c>
      <c r="D67" s="419">
        <v>1885169</v>
      </c>
      <c r="E67" s="321">
        <f t="shared" si="0"/>
        <v>4.5322434464997725</v>
      </c>
      <c r="F67" s="322">
        <f t="shared" si="1"/>
        <v>101.78881173970642</v>
      </c>
      <c r="G67" s="323">
        <f t="shared" si="2"/>
        <v>100.71652103332829</v>
      </c>
    </row>
    <row r="68" spans="1:7" ht="27" customHeight="1" x14ac:dyDescent="0.4">
      <c r="A68" s="430" t="s">
        <v>70</v>
      </c>
      <c r="B68" s="445"/>
      <c r="C68" s="324">
        <v>10</v>
      </c>
      <c r="D68" s="420">
        <v>1878769</v>
      </c>
      <c r="E68" s="325">
        <f t="shared" si="0"/>
        <v>4.5168568376293736</v>
      </c>
      <c r="F68" s="326">
        <f t="shared" si="1"/>
        <v>101.44324675580623</v>
      </c>
      <c r="G68" s="327">
        <f t="shared" si="2"/>
        <v>100.37459639176384</v>
      </c>
    </row>
    <row r="69" spans="1:7" ht="19.5" customHeight="1" x14ac:dyDescent="0.3">
      <c r="A69" s="432"/>
      <c r="B69" s="446"/>
      <c r="C69" s="320"/>
      <c r="D69" s="292"/>
      <c r="E69" s="328"/>
      <c r="F69" s="310"/>
      <c r="G69" s="329"/>
    </row>
    <row r="70" spans="1:7" ht="26.25" customHeight="1" x14ac:dyDescent="0.4">
      <c r="A70" s="310"/>
      <c r="B70" s="310"/>
      <c r="C70" s="330" t="s">
        <v>132</v>
      </c>
      <c r="D70" s="331"/>
      <c r="E70" s="332">
        <f>AVERAGE(E59:E68)</f>
        <v>4.4525949060979224</v>
      </c>
      <c r="F70" s="332">
        <f>AVERAGE(F59:F68)</f>
        <v>99.999999999999972</v>
      </c>
      <c r="G70" s="333">
        <f>AVERAGE(G59:G68)</f>
        <v>98.946553468842723</v>
      </c>
    </row>
    <row r="71" spans="1:7" ht="26.25" customHeight="1" x14ac:dyDescent="0.4">
      <c r="A71" s="310"/>
      <c r="B71" s="310"/>
      <c r="C71" s="330"/>
      <c r="D71" s="331"/>
      <c r="E71" s="334">
        <f>STDEV(E59:E68)/E70</f>
        <v>1.5910489850652465E-2</v>
      </c>
      <c r="F71" s="334">
        <f>STDEV(F59:F68)/F70</f>
        <v>1.5910489850652458E-2</v>
      </c>
      <c r="G71" s="335">
        <f>STDEV(G59:G68)/G70</f>
        <v>1.5910489850652458E-2</v>
      </c>
    </row>
    <row r="72" spans="1:7" ht="27" customHeight="1" x14ac:dyDescent="0.4">
      <c r="A72" s="310"/>
      <c r="B72" s="310"/>
      <c r="C72" s="336"/>
      <c r="D72" s="337"/>
      <c r="E72" s="338">
        <f>COUNT(E59:E68)</f>
        <v>10</v>
      </c>
      <c r="F72" s="338">
        <f>COUNT(F59:F68)</f>
        <v>10</v>
      </c>
      <c r="G72" s="339">
        <f>COUNT(G59:G68)</f>
        <v>10</v>
      </c>
    </row>
    <row r="73" spans="1:7" ht="18.75" customHeight="1" x14ac:dyDescent="0.3">
      <c r="A73" s="310"/>
      <c r="B73" s="340"/>
      <c r="C73" s="340"/>
      <c r="D73" s="289"/>
      <c r="E73" s="331"/>
      <c r="F73" s="286"/>
      <c r="G73" s="341"/>
    </row>
    <row r="74" spans="1:7" ht="18.75" customHeight="1" x14ac:dyDescent="0.3">
      <c r="A74" s="249" t="s">
        <v>133</v>
      </c>
      <c r="B74" s="342" t="s">
        <v>99</v>
      </c>
      <c r="C74" s="434" t="str">
        <f>B20</f>
        <v xml:space="preserve">Naltrexone Hydrochloride 4.5mg </v>
      </c>
      <c r="D74" s="434"/>
      <c r="E74" s="343" t="s">
        <v>100</v>
      </c>
      <c r="F74" s="343"/>
      <c r="G74" s="344">
        <f>G70</f>
        <v>98.946553468842723</v>
      </c>
    </row>
    <row r="75" spans="1:7" ht="18.75" customHeight="1" x14ac:dyDescent="0.3">
      <c r="A75" s="249"/>
      <c r="B75" s="342"/>
      <c r="C75" s="345"/>
      <c r="D75" s="345"/>
      <c r="E75" s="343"/>
      <c r="F75" s="343"/>
      <c r="G75" s="346"/>
    </row>
    <row r="76" spans="1:7" ht="18.75" customHeight="1" x14ac:dyDescent="0.3">
      <c r="A76" s="240" t="s">
        <v>1</v>
      </c>
      <c r="B76" s="347" t="s">
        <v>134</v>
      </c>
      <c r="C76" s="239"/>
      <c r="D76" s="239"/>
      <c r="E76" s="239"/>
      <c r="F76" s="239"/>
      <c r="G76" s="310"/>
    </row>
    <row r="77" spans="1:7" ht="18.75" customHeight="1" x14ac:dyDescent="0.3">
      <c r="A77" s="240"/>
      <c r="B77" s="305"/>
      <c r="C77" s="239"/>
      <c r="D77" s="239"/>
      <c r="E77" s="239"/>
      <c r="F77" s="239"/>
      <c r="G77" s="310"/>
    </row>
    <row r="78" spans="1:7" ht="18.75" customHeight="1" x14ac:dyDescent="0.3">
      <c r="A78" s="310"/>
      <c r="B78" s="469" t="s">
        <v>135</v>
      </c>
      <c r="C78" s="470"/>
      <c r="D78" s="239"/>
      <c r="E78" s="310"/>
      <c r="F78" s="310"/>
      <c r="G78" s="310"/>
    </row>
    <row r="79" spans="1:7" ht="18.75" customHeight="1" x14ac:dyDescent="0.3">
      <c r="A79" s="310"/>
      <c r="B79" s="348" t="s">
        <v>136</v>
      </c>
      <c r="C79" s="349">
        <f>G70</f>
        <v>98.946553468842723</v>
      </c>
      <c r="D79" s="239"/>
      <c r="E79" s="310"/>
      <c r="F79" s="310"/>
      <c r="G79" s="310"/>
    </row>
    <row r="80" spans="1:7" ht="26.25" customHeight="1" x14ac:dyDescent="0.4">
      <c r="A80" s="310"/>
      <c r="B80" s="348" t="s">
        <v>137</v>
      </c>
      <c r="C80" s="350">
        <v>2.4</v>
      </c>
      <c r="D80" s="239"/>
      <c r="E80" s="310"/>
      <c r="F80" s="310"/>
      <c r="G80" s="310"/>
    </row>
    <row r="81" spans="1:7" ht="18.75" customHeight="1" x14ac:dyDescent="0.3">
      <c r="A81" s="310"/>
      <c r="B81" s="348" t="s">
        <v>138</v>
      </c>
      <c r="C81" s="349">
        <f>STDEV(G59:G68)</f>
        <v>1.5742881347230631</v>
      </c>
      <c r="D81" s="239"/>
      <c r="E81" s="310"/>
      <c r="F81" s="310"/>
      <c r="G81" s="310"/>
    </row>
    <row r="82" spans="1:7" ht="18.75" customHeight="1" x14ac:dyDescent="0.3">
      <c r="A82" s="310"/>
      <c r="B82" s="348" t="s">
        <v>139</v>
      </c>
      <c r="C82" s="349">
        <f>IF(OR(G70&lt;98.5,G70&gt;101.5),(IF(98.5&gt;G70,98.5,101.5)),C79)</f>
        <v>98.946553468842723</v>
      </c>
      <c r="D82" s="239"/>
      <c r="E82" s="310"/>
      <c r="F82" s="310"/>
      <c r="G82" s="310"/>
    </row>
    <row r="83" spans="1:7" ht="18.75" customHeight="1" x14ac:dyDescent="0.3">
      <c r="A83" s="310"/>
      <c r="B83" s="348" t="s">
        <v>140</v>
      </c>
      <c r="C83" s="351">
        <f>ABS(C82-C79)+(C80*C81)</f>
        <v>3.7782915233353513</v>
      </c>
      <c r="D83" s="239"/>
      <c r="E83" s="310"/>
      <c r="F83" s="310"/>
      <c r="G83" s="310"/>
    </row>
    <row r="84" spans="1:7" ht="18.75" customHeight="1" x14ac:dyDescent="0.3">
      <c r="A84" s="307"/>
      <c r="B84" s="352"/>
      <c r="C84" s="239"/>
      <c r="D84" s="239"/>
      <c r="E84" s="239"/>
      <c r="F84" s="239"/>
      <c r="G84" s="239"/>
    </row>
    <row r="85" spans="1:7" ht="18.75" customHeight="1" x14ac:dyDescent="0.3">
      <c r="A85" s="248" t="s">
        <v>101</v>
      </c>
      <c r="B85" s="248" t="s">
        <v>102</v>
      </c>
      <c r="C85" s="239"/>
      <c r="D85" s="239"/>
      <c r="E85" s="239"/>
      <c r="F85" s="239"/>
      <c r="G85" s="239"/>
    </row>
    <row r="86" spans="1:7" ht="18.75" customHeight="1" x14ac:dyDescent="0.3">
      <c r="A86" s="248"/>
      <c r="B86" s="248"/>
      <c r="C86" s="239"/>
      <c r="D86" s="239"/>
      <c r="E86" s="239"/>
      <c r="F86" s="239"/>
      <c r="G86" s="239"/>
    </row>
    <row r="87" spans="1:7" ht="26.25" customHeight="1" x14ac:dyDescent="0.4">
      <c r="A87" s="249" t="s">
        <v>4</v>
      </c>
      <c r="B87" s="468"/>
      <c r="C87" s="468"/>
      <c r="D87" s="239"/>
      <c r="E87" s="239"/>
      <c r="F87" s="239"/>
      <c r="G87" s="239"/>
    </row>
    <row r="88" spans="1:7" ht="26.25" customHeight="1" x14ac:dyDescent="0.4">
      <c r="A88" s="250" t="s">
        <v>40</v>
      </c>
      <c r="B88" s="466"/>
      <c r="C88" s="466"/>
      <c r="D88" s="239"/>
      <c r="E88" s="239"/>
      <c r="F88" s="239"/>
      <c r="G88" s="239"/>
    </row>
    <row r="89" spans="1:7" ht="27" customHeight="1" x14ac:dyDescent="0.4">
      <c r="A89" s="250" t="s">
        <v>6</v>
      </c>
      <c r="B89" s="251">
        <f>B32</f>
        <v>377.86500000000001</v>
      </c>
      <c r="C89" s="239"/>
      <c r="D89" s="239"/>
      <c r="E89" s="239"/>
      <c r="F89" s="239"/>
      <c r="G89" s="239"/>
    </row>
    <row r="90" spans="1:7" ht="27" customHeight="1" x14ac:dyDescent="0.4">
      <c r="A90" s="250" t="s">
        <v>41</v>
      </c>
      <c r="B90" s="251">
        <f>B33</f>
        <v>0</v>
      </c>
      <c r="C90" s="436" t="s">
        <v>42</v>
      </c>
      <c r="D90" s="437"/>
      <c r="E90" s="437"/>
      <c r="F90" s="437"/>
      <c r="G90" s="438"/>
    </row>
    <row r="91" spans="1:7" ht="18.75" customHeight="1" x14ac:dyDescent="0.3">
      <c r="A91" s="250" t="s">
        <v>43</v>
      </c>
      <c r="B91" s="254">
        <f>B89-B90</f>
        <v>377.86500000000001</v>
      </c>
      <c r="C91" s="353"/>
      <c r="D91" s="353"/>
      <c r="E91" s="353"/>
      <c r="F91" s="353"/>
      <c r="G91" s="354"/>
    </row>
    <row r="92" spans="1:7" ht="19.5" customHeight="1" x14ac:dyDescent="0.3">
      <c r="A92" s="250"/>
      <c r="B92" s="254"/>
      <c r="C92" s="353"/>
      <c r="D92" s="353"/>
      <c r="E92" s="353"/>
      <c r="F92" s="353"/>
      <c r="G92" s="354"/>
    </row>
    <row r="93" spans="1:7" ht="27" customHeight="1" x14ac:dyDescent="0.4">
      <c r="A93" s="250" t="s">
        <v>44</v>
      </c>
      <c r="B93" s="256">
        <v>1</v>
      </c>
      <c r="C93" s="439" t="s">
        <v>141</v>
      </c>
      <c r="D93" s="440"/>
      <c r="E93" s="440"/>
      <c r="F93" s="440"/>
      <c r="G93" s="440"/>
    </row>
    <row r="94" spans="1:7" ht="27" customHeight="1" x14ac:dyDescent="0.4">
      <c r="A94" s="250" t="s">
        <v>46</v>
      </c>
      <c r="B94" s="256">
        <v>1</v>
      </c>
      <c r="C94" s="439" t="s">
        <v>142</v>
      </c>
      <c r="D94" s="440"/>
      <c r="E94" s="440"/>
      <c r="F94" s="440"/>
      <c r="G94" s="440"/>
    </row>
    <row r="95" spans="1:7" ht="18.75" customHeight="1" x14ac:dyDescent="0.3">
      <c r="A95" s="250"/>
      <c r="B95" s="257"/>
      <c r="C95" s="258"/>
      <c r="D95" s="258"/>
      <c r="E95" s="258"/>
      <c r="F95" s="258"/>
      <c r="G95" s="258"/>
    </row>
    <row r="96" spans="1:7" ht="18.75" customHeight="1" x14ac:dyDescent="0.3">
      <c r="A96" s="250" t="s">
        <v>48</v>
      </c>
      <c r="B96" s="259">
        <f>B93/B94</f>
        <v>1</v>
      </c>
      <c r="C96" s="239" t="s">
        <v>49</v>
      </c>
      <c r="D96" s="239"/>
      <c r="E96" s="239"/>
      <c r="F96" s="239"/>
      <c r="G96" s="239"/>
    </row>
    <row r="97" spans="1:7" ht="19.5" customHeight="1" x14ac:dyDescent="0.3">
      <c r="A97" s="248"/>
      <c r="B97" s="248"/>
      <c r="C97" s="239"/>
      <c r="D97" s="239"/>
      <c r="E97" s="239"/>
      <c r="F97" s="239"/>
      <c r="G97" s="239"/>
    </row>
    <row r="98" spans="1:7" ht="27" customHeight="1" x14ac:dyDescent="0.4">
      <c r="A98" s="260" t="s">
        <v>124</v>
      </c>
      <c r="B98" s="355">
        <v>1</v>
      </c>
      <c r="C98" s="239"/>
      <c r="D98" s="356" t="s">
        <v>51</v>
      </c>
      <c r="E98" s="357"/>
      <c r="F98" s="442" t="s">
        <v>52</v>
      </c>
      <c r="G98" s="443"/>
    </row>
    <row r="99" spans="1:7" ht="26.25" customHeight="1" x14ac:dyDescent="0.4">
      <c r="A99" s="262" t="s">
        <v>53</v>
      </c>
      <c r="B99" s="358">
        <v>1</v>
      </c>
      <c r="C99" s="264" t="s">
        <v>54</v>
      </c>
      <c r="D99" s="265" t="s">
        <v>55</v>
      </c>
      <c r="E99" s="266" t="s">
        <v>56</v>
      </c>
      <c r="F99" s="265" t="s">
        <v>55</v>
      </c>
      <c r="G99" s="267" t="s">
        <v>56</v>
      </c>
    </row>
    <row r="100" spans="1:7" ht="26.25" customHeight="1" x14ac:dyDescent="0.4">
      <c r="A100" s="262" t="s">
        <v>58</v>
      </c>
      <c r="B100" s="358">
        <v>1</v>
      </c>
      <c r="C100" s="268">
        <v>1</v>
      </c>
      <c r="D100" s="269"/>
      <c r="E100" s="359" t="str">
        <f>IF(ISBLANK(D100),"-",$D$110/$D$107*D100)</f>
        <v>-</v>
      </c>
      <c r="F100" s="360"/>
      <c r="G100" s="271" t="str">
        <f>IF(ISBLANK(F100),"-",$D$110/$F$107*F100)</f>
        <v>-</v>
      </c>
    </row>
    <row r="101" spans="1:7" ht="26.25" customHeight="1" x14ac:dyDescent="0.4">
      <c r="A101" s="262" t="s">
        <v>59</v>
      </c>
      <c r="B101" s="358">
        <v>1</v>
      </c>
      <c r="C101" s="272">
        <v>2</v>
      </c>
      <c r="D101" s="273"/>
      <c r="E101" s="361" t="str">
        <f>IF(ISBLANK(D101),"-",$D$110/$D$107*D101)</f>
        <v>-</v>
      </c>
      <c r="F101" s="251"/>
      <c r="G101" s="275" t="str">
        <f>IF(ISBLANK(F101),"-",$D$110/$F$107*F101)</f>
        <v>-</v>
      </c>
    </row>
    <row r="102" spans="1:7" ht="26.25" customHeight="1" x14ac:dyDescent="0.4">
      <c r="A102" s="262" t="s">
        <v>60</v>
      </c>
      <c r="B102" s="358">
        <v>1</v>
      </c>
      <c r="C102" s="272">
        <v>3</v>
      </c>
      <c r="D102" s="273"/>
      <c r="E102" s="361" t="str">
        <f>IF(ISBLANK(D102),"-",$D$110/$D$107*D102)</f>
        <v>-</v>
      </c>
      <c r="F102" s="362"/>
      <c r="G102" s="275" t="str">
        <f>IF(ISBLANK(F102),"-",$D$110/$F$107*F102)</f>
        <v>-</v>
      </c>
    </row>
    <row r="103" spans="1:7" ht="26.25" customHeight="1" x14ac:dyDescent="0.4">
      <c r="A103" s="262" t="s">
        <v>61</v>
      </c>
      <c r="B103" s="358">
        <v>1</v>
      </c>
      <c r="C103" s="276">
        <v>4</v>
      </c>
      <c r="D103" s="277"/>
      <c r="E103" s="363" t="str">
        <f>IF(ISBLANK(D103),"-",$D$110/$D$107*D103)</f>
        <v>-</v>
      </c>
      <c r="F103" s="364"/>
      <c r="G103" s="279" t="str">
        <f>IF(ISBLANK(F103),"-",$D$110/$F$107*F103)</f>
        <v>-</v>
      </c>
    </row>
    <row r="104" spans="1:7" ht="27" customHeight="1" x14ac:dyDescent="0.4">
      <c r="A104" s="262" t="s">
        <v>62</v>
      </c>
      <c r="B104" s="358">
        <v>1</v>
      </c>
      <c r="C104" s="280" t="s">
        <v>63</v>
      </c>
      <c r="D104" s="365" t="e">
        <f>AVERAGE(D100:D103)</f>
        <v>#DIV/0!</v>
      </c>
      <c r="E104" s="282" t="e">
        <f>AVERAGE(E100:E103)</f>
        <v>#DIV/0!</v>
      </c>
      <c r="F104" s="365" t="e">
        <f>AVERAGE(F100:F103)</f>
        <v>#DIV/0!</v>
      </c>
      <c r="G104" s="366" t="e">
        <f>AVERAGE(G100:G103)</f>
        <v>#DIV/0!</v>
      </c>
    </row>
    <row r="105" spans="1:7" ht="26.25" customHeight="1" x14ac:dyDescent="0.4">
      <c r="A105" s="262" t="s">
        <v>64</v>
      </c>
      <c r="B105" s="358">
        <v>1</v>
      </c>
      <c r="C105" s="284" t="s">
        <v>105</v>
      </c>
      <c r="D105" s="367"/>
      <c r="E105" s="286"/>
      <c r="F105" s="285"/>
      <c r="G105" s="239"/>
    </row>
    <row r="106" spans="1:7" ht="26.25" customHeight="1" x14ac:dyDescent="0.4">
      <c r="A106" s="262" t="s">
        <v>66</v>
      </c>
      <c r="B106" s="358">
        <v>1</v>
      </c>
      <c r="C106" s="287" t="s">
        <v>106</v>
      </c>
      <c r="D106" s="368">
        <f>D105*$B$96</f>
        <v>0</v>
      </c>
      <c r="E106" s="289"/>
      <c r="F106" s="288">
        <f>F105*$B$96</f>
        <v>0</v>
      </c>
      <c r="G106" s="239"/>
    </row>
    <row r="107" spans="1:7" ht="19.5" customHeight="1" x14ac:dyDescent="0.3">
      <c r="A107" s="262" t="s">
        <v>68</v>
      </c>
      <c r="B107" s="400">
        <f>(B106/B105)*(B104/B103)*(B102/B101)*(B100/B99)*B98</f>
        <v>1</v>
      </c>
      <c r="C107" s="287" t="s">
        <v>69</v>
      </c>
      <c r="D107" s="369">
        <f>D106*$B$91/100</f>
        <v>0</v>
      </c>
      <c r="E107" s="292"/>
      <c r="F107" s="291">
        <f>F106*$B$91/100</f>
        <v>0</v>
      </c>
      <c r="G107" s="239"/>
    </row>
    <row r="108" spans="1:7" ht="19.5" customHeight="1" x14ac:dyDescent="0.3">
      <c r="A108" s="430" t="s">
        <v>70</v>
      </c>
      <c r="B108" s="431"/>
      <c r="C108" s="287" t="s">
        <v>71</v>
      </c>
      <c r="D108" s="368">
        <f>D107/$B$107</f>
        <v>0</v>
      </c>
      <c r="E108" s="292"/>
      <c r="F108" s="293">
        <f>F107/$B$107</f>
        <v>0</v>
      </c>
      <c r="G108" s="370"/>
    </row>
    <row r="109" spans="1:7" ht="19.5" customHeight="1" x14ac:dyDescent="0.3">
      <c r="A109" s="432"/>
      <c r="B109" s="433"/>
      <c r="C109" s="417" t="s">
        <v>125</v>
      </c>
      <c r="D109" s="372">
        <f>$B$56/$B$125</f>
        <v>4.5</v>
      </c>
      <c r="E109" s="239"/>
      <c r="F109" s="296"/>
      <c r="G109" s="373"/>
    </row>
    <row r="110" spans="1:7" ht="18.75" customHeight="1" x14ac:dyDescent="0.3">
      <c r="A110" s="239"/>
      <c r="B110" s="239"/>
      <c r="C110" s="371" t="s">
        <v>73</v>
      </c>
      <c r="D110" s="368">
        <f>D109*$B$107</f>
        <v>4.5</v>
      </c>
      <c r="E110" s="239"/>
      <c r="F110" s="296"/>
      <c r="G110" s="370"/>
    </row>
    <row r="111" spans="1:7" ht="19.5" customHeight="1" x14ac:dyDescent="0.3">
      <c r="A111" s="239"/>
      <c r="B111" s="239"/>
      <c r="C111" s="374" t="s">
        <v>74</v>
      </c>
      <c r="D111" s="375">
        <f>D110/B96</f>
        <v>4.5</v>
      </c>
      <c r="E111" s="239"/>
      <c r="F111" s="301"/>
      <c r="G111" s="370"/>
    </row>
    <row r="112" spans="1:7" ht="18.75" customHeight="1" x14ac:dyDescent="0.3">
      <c r="A112" s="239"/>
      <c r="B112" s="239"/>
      <c r="C112" s="376" t="s">
        <v>75</v>
      </c>
      <c r="D112" s="377" t="e">
        <f>AVERAGE(E100:E103,G100:G103)</f>
        <v>#DIV/0!</v>
      </c>
      <c r="E112" s="239"/>
      <c r="F112" s="301"/>
      <c r="G112" s="378"/>
    </row>
    <row r="113" spans="1:7" ht="18.75" customHeight="1" x14ac:dyDescent="0.3">
      <c r="A113" s="239"/>
      <c r="B113" s="239"/>
      <c r="C113" s="379" t="s">
        <v>76</v>
      </c>
      <c r="D113" s="380" t="e">
        <f>STDEV(E100:E103,G100:G103)/D112</f>
        <v>#DIV/0!</v>
      </c>
      <c r="E113" s="239"/>
      <c r="F113" s="301"/>
      <c r="G113" s="370"/>
    </row>
    <row r="114" spans="1:7" ht="19.5" customHeight="1" x14ac:dyDescent="0.3">
      <c r="A114" s="239"/>
      <c r="B114" s="239"/>
      <c r="C114" s="381" t="s">
        <v>20</v>
      </c>
      <c r="D114" s="382">
        <f>COUNT(E100:E103,G100:G103)</f>
        <v>0</v>
      </c>
      <c r="E114" s="239"/>
      <c r="F114" s="301"/>
      <c r="G114" s="370"/>
    </row>
    <row r="115" spans="1:7" ht="19.5" customHeight="1" x14ac:dyDescent="0.3">
      <c r="A115" s="240"/>
      <c r="B115" s="240"/>
      <c r="C115" s="240"/>
      <c r="D115" s="240"/>
      <c r="E115" s="240"/>
      <c r="F115" s="239"/>
      <c r="G115" s="239"/>
    </row>
    <row r="116" spans="1:7" ht="26.25" customHeight="1" x14ac:dyDescent="0.4">
      <c r="A116" s="260" t="s">
        <v>110</v>
      </c>
      <c r="B116" s="355">
        <v>1</v>
      </c>
      <c r="C116" s="383" t="s">
        <v>143</v>
      </c>
      <c r="D116" s="384" t="s">
        <v>55</v>
      </c>
      <c r="E116" s="385" t="s">
        <v>112</v>
      </c>
      <c r="F116" s="386" t="s">
        <v>113</v>
      </c>
      <c r="G116" s="239"/>
    </row>
    <row r="117" spans="1:7" ht="26.25" customHeight="1" x14ac:dyDescent="0.4">
      <c r="A117" s="262" t="s">
        <v>114</v>
      </c>
      <c r="B117" s="358">
        <v>1</v>
      </c>
      <c r="C117" s="320">
        <v>1</v>
      </c>
      <c r="D117" s="387"/>
      <c r="E117" s="388" t="str">
        <f t="shared" ref="E117:E122" si="3">IF(ISBLANK(D117),"-",D117/$D$112*$D$109*$B$125)</f>
        <v>-</v>
      </c>
      <c r="F117" s="389" t="str">
        <f t="shared" ref="F117:F122" si="4">IF(ISBLANK(D117), "-", E117/$B$56)</f>
        <v>-</v>
      </c>
      <c r="G117" s="239"/>
    </row>
    <row r="118" spans="1:7" ht="26.25" customHeight="1" x14ac:dyDescent="0.4">
      <c r="A118" s="262" t="s">
        <v>87</v>
      </c>
      <c r="B118" s="358">
        <v>1</v>
      </c>
      <c r="C118" s="320">
        <v>2</v>
      </c>
      <c r="D118" s="387"/>
      <c r="E118" s="390" t="str">
        <f t="shared" si="3"/>
        <v>-</v>
      </c>
      <c r="F118" s="391" t="str">
        <f t="shared" si="4"/>
        <v>-</v>
      </c>
      <c r="G118" s="239"/>
    </row>
    <row r="119" spans="1:7" ht="26.25" customHeight="1" x14ac:dyDescent="0.4">
      <c r="A119" s="262" t="s">
        <v>88</v>
      </c>
      <c r="B119" s="358">
        <v>1</v>
      </c>
      <c r="C119" s="320">
        <v>3</v>
      </c>
      <c r="D119" s="387"/>
      <c r="E119" s="390" t="str">
        <f t="shared" si="3"/>
        <v>-</v>
      </c>
      <c r="F119" s="391" t="str">
        <f t="shared" si="4"/>
        <v>-</v>
      </c>
      <c r="G119" s="239"/>
    </row>
    <row r="120" spans="1:7" ht="26.25" customHeight="1" x14ac:dyDescent="0.4">
      <c r="A120" s="262" t="s">
        <v>89</v>
      </c>
      <c r="B120" s="358">
        <v>1</v>
      </c>
      <c r="C120" s="320">
        <v>4</v>
      </c>
      <c r="D120" s="387"/>
      <c r="E120" s="390" t="str">
        <f t="shared" si="3"/>
        <v>-</v>
      </c>
      <c r="F120" s="391" t="str">
        <f t="shared" si="4"/>
        <v>-</v>
      </c>
      <c r="G120" s="239"/>
    </row>
    <row r="121" spans="1:7" ht="26.25" customHeight="1" x14ac:dyDescent="0.4">
      <c r="A121" s="262" t="s">
        <v>90</v>
      </c>
      <c r="B121" s="358">
        <v>1</v>
      </c>
      <c r="C121" s="320">
        <v>5</v>
      </c>
      <c r="D121" s="387"/>
      <c r="E121" s="390" t="str">
        <f t="shared" si="3"/>
        <v>-</v>
      </c>
      <c r="F121" s="391" t="str">
        <f t="shared" si="4"/>
        <v>-</v>
      </c>
      <c r="G121" s="239"/>
    </row>
    <row r="122" spans="1:7" ht="26.25" customHeight="1" x14ac:dyDescent="0.4">
      <c r="A122" s="262" t="s">
        <v>92</v>
      </c>
      <c r="B122" s="358">
        <v>1</v>
      </c>
      <c r="C122" s="392">
        <v>6</v>
      </c>
      <c r="D122" s="393"/>
      <c r="E122" s="394" t="str">
        <f t="shared" si="3"/>
        <v>-</v>
      </c>
      <c r="F122" s="395" t="str">
        <f t="shared" si="4"/>
        <v>-</v>
      </c>
      <c r="G122" s="239"/>
    </row>
    <row r="123" spans="1:7" ht="26.25" customHeight="1" x14ac:dyDescent="0.4">
      <c r="A123" s="262" t="s">
        <v>93</v>
      </c>
      <c r="B123" s="358">
        <v>1</v>
      </c>
      <c r="C123" s="320"/>
      <c r="D123" s="396"/>
      <c r="E123" s="340"/>
      <c r="F123" s="323"/>
      <c r="G123" s="239"/>
    </row>
    <row r="124" spans="1:7" ht="26.25" customHeight="1" x14ac:dyDescent="0.4">
      <c r="A124" s="262" t="s">
        <v>94</v>
      </c>
      <c r="B124" s="358">
        <v>1</v>
      </c>
      <c r="C124" s="320"/>
      <c r="D124" s="397"/>
      <c r="E124" s="398" t="s">
        <v>63</v>
      </c>
      <c r="F124" s="399" t="e">
        <f>AVERAGE(F117:F122)</f>
        <v>#DIV/0!</v>
      </c>
      <c r="G124" s="239"/>
    </row>
    <row r="125" spans="1:7" ht="27" customHeight="1" x14ac:dyDescent="0.4">
      <c r="A125" s="262" t="s">
        <v>95</v>
      </c>
      <c r="B125" s="400">
        <f>(B124/B123)*(B122/B121)*(B120/B119)*(B118/B117)*B116</f>
        <v>1</v>
      </c>
      <c r="C125" s="401"/>
      <c r="D125" s="402"/>
      <c r="E125" s="298" t="s">
        <v>76</v>
      </c>
      <c r="F125" s="335" t="e">
        <f>STDEV(F117:F122)/F124</f>
        <v>#DIV/0!</v>
      </c>
      <c r="G125" s="239"/>
    </row>
    <row r="126" spans="1:7" ht="27" customHeight="1" x14ac:dyDescent="0.4">
      <c r="A126" s="430" t="s">
        <v>70</v>
      </c>
      <c r="B126" s="431"/>
      <c r="C126" s="403"/>
      <c r="D126" s="404"/>
      <c r="E126" s="405" t="s">
        <v>20</v>
      </c>
      <c r="F126" s="406">
        <f>COUNT(F117:F122)</f>
        <v>0</v>
      </c>
      <c r="G126" s="239"/>
    </row>
    <row r="127" spans="1:7" ht="19.5" customHeight="1" x14ac:dyDescent="0.3">
      <c r="A127" s="432"/>
      <c r="B127" s="433"/>
      <c r="C127" s="340"/>
      <c r="D127" s="340"/>
      <c r="E127" s="340"/>
      <c r="F127" s="396"/>
      <c r="G127" s="340"/>
    </row>
    <row r="128" spans="1:7" ht="18.75" customHeight="1" x14ac:dyDescent="0.3">
      <c r="A128" s="258"/>
      <c r="B128" s="258"/>
      <c r="C128" s="340"/>
      <c r="D128" s="340"/>
      <c r="E128" s="340"/>
      <c r="F128" s="396"/>
      <c r="G128" s="340"/>
    </row>
    <row r="129" spans="1:7" ht="18.75" customHeight="1" x14ac:dyDescent="0.3">
      <c r="A129" s="249" t="s">
        <v>133</v>
      </c>
      <c r="B129" s="342" t="s">
        <v>118</v>
      </c>
      <c r="C129" s="434" t="str">
        <f>B20</f>
        <v xml:space="preserve">Naltrexone Hydrochloride 4.5mg </v>
      </c>
      <c r="D129" s="434"/>
      <c r="E129" s="343" t="s">
        <v>119</v>
      </c>
      <c r="F129" s="343"/>
      <c r="G129" s="346" t="e">
        <f>F124</f>
        <v>#DIV/0!</v>
      </c>
    </row>
    <row r="130" spans="1:7" ht="19.5" customHeight="1" x14ac:dyDescent="0.3">
      <c r="A130" s="407"/>
      <c r="B130" s="407"/>
      <c r="C130" s="408"/>
      <c r="D130" s="408"/>
      <c r="E130" s="408"/>
      <c r="F130" s="408"/>
      <c r="G130" s="408"/>
    </row>
    <row r="131" spans="1:7" ht="18.75" customHeight="1" x14ac:dyDescent="0.3">
      <c r="A131" s="239"/>
      <c r="B131" s="435" t="s">
        <v>25</v>
      </c>
      <c r="C131" s="435"/>
      <c r="D131" s="239"/>
      <c r="E131" s="409" t="s">
        <v>26</v>
      </c>
      <c r="F131" s="410"/>
      <c r="G131" s="416" t="s">
        <v>27</v>
      </c>
    </row>
    <row r="132" spans="1:7" ht="60" customHeight="1" x14ac:dyDescent="0.3">
      <c r="A132" s="411" t="s">
        <v>28</v>
      </c>
      <c r="B132" s="412"/>
      <c r="C132" s="412"/>
      <c r="D132" s="239"/>
      <c r="E132" s="412"/>
      <c r="F132" s="340"/>
      <c r="G132" s="413"/>
    </row>
    <row r="133" spans="1:7" ht="60" customHeight="1" x14ac:dyDescent="0.3">
      <c r="A133" s="411" t="s">
        <v>29</v>
      </c>
      <c r="B133" s="414"/>
      <c r="C133" s="414"/>
      <c r="D133" s="239"/>
      <c r="E133" s="414"/>
      <c r="F133" s="340"/>
      <c r="G133" s="415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2" priority="1" operator="greaterThan">
      <formula>0.02</formula>
    </cfRule>
  </conditionalFormatting>
  <conditionalFormatting sqref="C83">
    <cfRule type="cellIs" dxfId="21" priority="2" operator="greaterThan">
      <formula>15</formula>
    </cfRule>
  </conditionalFormatting>
  <conditionalFormatting sqref="D113">
    <cfRule type="cellIs" dxfId="2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NALTREXONE HYDROCHLORIDE</vt:lpstr>
      <vt:lpstr>NALTREXONE HYDROCHLORIDE UOC</vt:lpstr>
      <vt:lpstr>'NALTREXONE HYDROCHLORIDE'!Print_Area</vt:lpstr>
      <vt:lpstr>'NALTREXONE HYDROCHLORIDE UOC'!Print_Area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2017-06-20T06:00:56Z</cp:lastPrinted>
  <dcterms:created xsi:type="dcterms:W3CDTF">2005-07-05T10:19:27Z</dcterms:created>
  <dcterms:modified xsi:type="dcterms:W3CDTF">2017-06-20T07:48:50Z</dcterms:modified>
</cp:coreProperties>
</file>