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25" windowWidth="20775" windowHeight="11445" activeTab="2"/>
  </bookViews>
  <sheets>
    <sheet name="SST (2)" sheetId="5" r:id="rId1"/>
    <sheet name="Uniformity" sheetId="2" r:id="rId2"/>
    <sheet name="Betahistine Dihydrochloride" sheetId="3" r:id="rId3"/>
    <sheet name="Betahistine Dihydrochloride 1" sheetId="4" r:id="rId4"/>
  </sheets>
  <externalReferences>
    <externalReference r:id="rId5"/>
  </externalReferences>
  <definedNames>
    <definedName name="_xlnm.Print_Area" localSheetId="2">'Betahistine Dihydrochloride'!$A$1:$G$84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5" l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D44" i="4" s="1"/>
  <c r="B30" i="4"/>
  <c r="C129" i="3"/>
  <c r="B125" i="3"/>
  <c r="D109" i="3" s="1"/>
  <c r="F122" i="3"/>
  <c r="E122" i="3"/>
  <c r="F121" i="3"/>
  <c r="E121" i="3"/>
  <c r="E119" i="3"/>
  <c r="F119" i="3" s="1"/>
  <c r="E118" i="3"/>
  <c r="F118" i="3" s="1"/>
  <c r="E117" i="3"/>
  <c r="F117" i="3" s="1"/>
  <c r="B107" i="3"/>
  <c r="F104" i="3"/>
  <c r="D104" i="3"/>
  <c r="G103" i="3"/>
  <c r="E103" i="3"/>
  <c r="G102" i="3"/>
  <c r="E102" i="3"/>
  <c r="G101" i="3"/>
  <c r="E101" i="3"/>
  <c r="G100" i="3"/>
  <c r="E100" i="3"/>
  <c r="B96" i="3"/>
  <c r="F106" i="3" s="1"/>
  <c r="B91" i="3"/>
  <c r="B90" i="3"/>
  <c r="C74" i="3"/>
  <c r="E68" i="3"/>
  <c r="G68" i="3" s="1"/>
  <c r="E67" i="3"/>
  <c r="G67" i="3" s="1"/>
  <c r="B67" i="3"/>
  <c r="G66" i="3"/>
  <c r="E66" i="3"/>
  <c r="E65" i="3"/>
  <c r="G65" i="3" s="1"/>
  <c r="E64" i="3"/>
  <c r="E63" i="3"/>
  <c r="G63" i="3" s="1"/>
  <c r="E62" i="3"/>
  <c r="G62" i="3" s="1"/>
  <c r="G61" i="3"/>
  <c r="E61" i="3"/>
  <c r="E60" i="3"/>
  <c r="E59" i="3"/>
  <c r="G59" i="3" s="1"/>
  <c r="C56" i="3"/>
  <c r="B55" i="3"/>
  <c r="B45" i="3"/>
  <c r="D48" i="3" s="1"/>
  <c r="D49" i="3" s="1"/>
  <c r="F42" i="3"/>
  <c r="D42" i="3"/>
  <c r="G41" i="3"/>
  <c r="E41" i="3"/>
  <c r="B34" i="3"/>
  <c r="F44" i="3" s="1"/>
  <c r="B30" i="3"/>
  <c r="D49" i="2"/>
  <c r="C46" i="2"/>
  <c r="B57" i="3" s="1"/>
  <c r="C45" i="2"/>
  <c r="D41" i="2"/>
  <c r="D40" i="2"/>
  <c r="D37" i="2"/>
  <c r="D36" i="2"/>
  <c r="D33" i="2"/>
  <c r="D32" i="2"/>
  <c r="D29" i="2"/>
  <c r="D28" i="2"/>
  <c r="D27" i="2"/>
  <c r="D25" i="2"/>
  <c r="D24" i="2"/>
  <c r="C19" i="2"/>
  <c r="D110" i="3" l="1"/>
  <c r="D111" i="3" s="1"/>
  <c r="B69" i="4"/>
  <c r="I92" i="4"/>
  <c r="D101" i="4"/>
  <c r="D102" i="4" s="1"/>
  <c r="I39" i="4"/>
  <c r="F44" i="4"/>
  <c r="F45" i="4" s="1"/>
  <c r="F46" i="4" s="1"/>
  <c r="D45" i="4"/>
  <c r="D46" i="4" s="1"/>
  <c r="E39" i="4"/>
  <c r="E38" i="4"/>
  <c r="G40" i="4"/>
  <c r="G41" i="4"/>
  <c r="E41" i="4"/>
  <c r="G94" i="4"/>
  <c r="F98" i="4"/>
  <c r="F99" i="4" s="1"/>
  <c r="D97" i="4"/>
  <c r="D98" i="4" s="1"/>
  <c r="D99" i="4" s="1"/>
  <c r="G38" i="4"/>
  <c r="E40" i="4"/>
  <c r="D49" i="4"/>
  <c r="G39" i="4"/>
  <c r="G104" i="3"/>
  <c r="F107" i="3"/>
  <c r="F108" i="3" s="1"/>
  <c r="E104" i="3"/>
  <c r="G64" i="3"/>
  <c r="G60" i="3"/>
  <c r="C81" i="3" s="1"/>
  <c r="D112" i="3"/>
  <c r="E70" i="3"/>
  <c r="F63" i="3" s="1"/>
  <c r="F45" i="3"/>
  <c r="C50" i="2"/>
  <c r="D44" i="3"/>
  <c r="D45" i="3" s="1"/>
  <c r="E72" i="3"/>
  <c r="D26" i="2"/>
  <c r="D30" i="2"/>
  <c r="D34" i="2"/>
  <c r="D38" i="2"/>
  <c r="D42" i="2"/>
  <c r="B49" i="2"/>
  <c r="D50" i="2"/>
  <c r="D106" i="3"/>
  <c r="D107" i="3" s="1"/>
  <c r="D108" i="3" s="1"/>
  <c r="D114" i="3"/>
  <c r="D31" i="2"/>
  <c r="D35" i="2"/>
  <c r="D39" i="2"/>
  <c r="D43" i="2"/>
  <c r="C49" i="2"/>
  <c r="D113" i="3" l="1"/>
  <c r="E120" i="3"/>
  <c r="F120" i="3" s="1"/>
  <c r="G91" i="4"/>
  <c r="E92" i="4"/>
  <c r="G42" i="4"/>
  <c r="E93" i="4"/>
  <c r="G92" i="4"/>
  <c r="D50" i="4"/>
  <c r="E42" i="4"/>
  <c r="D52" i="4"/>
  <c r="E94" i="4"/>
  <c r="G93" i="4"/>
  <c r="E91" i="4"/>
  <c r="F67" i="3"/>
  <c r="F68" i="3"/>
  <c r="F66" i="3"/>
  <c r="F65" i="3"/>
  <c r="F64" i="3"/>
  <c r="F62" i="3"/>
  <c r="E71" i="3"/>
  <c r="F61" i="3"/>
  <c r="G72" i="3"/>
  <c r="G70" i="3"/>
  <c r="G71" i="3" s="1"/>
  <c r="F59" i="3"/>
  <c r="F60" i="3"/>
  <c r="F46" i="3"/>
  <c r="G39" i="3"/>
  <c r="G38" i="3"/>
  <c r="G40" i="3"/>
  <c r="D46" i="3"/>
  <c r="E40" i="3"/>
  <c r="E39" i="3"/>
  <c r="E38" i="3"/>
  <c r="F124" i="3" l="1"/>
  <c r="G129" i="3" s="1"/>
  <c r="F126" i="3"/>
  <c r="G95" i="4"/>
  <c r="D51" i="4"/>
  <c r="G61" i="4"/>
  <c r="H61" i="4" s="1"/>
  <c r="G70" i="4"/>
  <c r="H70" i="4" s="1"/>
  <c r="G67" i="4"/>
  <c r="H67" i="4" s="1"/>
  <c r="G65" i="4"/>
  <c r="H65" i="4" s="1"/>
  <c r="G63" i="4"/>
  <c r="H63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103" i="4"/>
  <c r="E95" i="4"/>
  <c r="D105" i="4"/>
  <c r="G74" i="3"/>
  <c r="C79" i="3"/>
  <c r="C82" i="3" s="1"/>
  <c r="C83" i="3" s="1"/>
  <c r="F70" i="3"/>
  <c r="F71" i="3" s="1"/>
  <c r="F72" i="3"/>
  <c r="G42" i="3"/>
  <c r="D50" i="3"/>
  <c r="D51" i="3" s="1"/>
  <c r="D52" i="3"/>
  <c r="E42" i="3"/>
  <c r="F125" i="3" l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4" i="4"/>
  <c r="G72" i="4"/>
  <c r="G73" i="4" s="1"/>
  <c r="H60" i="4"/>
  <c r="E120" i="4" l="1"/>
  <c r="E117" i="4"/>
  <c r="F108" i="4"/>
  <c r="E115" i="4"/>
  <c r="E116" i="4" s="1"/>
  <c r="E119" i="4"/>
  <c r="H74" i="4"/>
  <c r="H72" i="4"/>
  <c r="G76" i="4" l="1"/>
  <c r="H73" i="4"/>
  <c r="F125" i="4"/>
  <c r="F120" i="4"/>
  <c r="F117" i="4"/>
  <c r="D125" i="4"/>
  <c r="F115" i="4"/>
  <c r="F119" i="4"/>
  <c r="G124" i="4" l="1"/>
  <c r="F116" i="4"/>
</calcChain>
</file>

<file path=xl/sharedStrings.xml><?xml version="1.0" encoding="utf-8"?>
<sst xmlns="http://schemas.openxmlformats.org/spreadsheetml/2006/main" count="405" uniqueCount="159">
  <si>
    <t>HPLC System Suitability Report</t>
  </si>
  <si>
    <t>Analysis Data</t>
  </si>
  <si>
    <t>Assay</t>
  </si>
  <si>
    <t>Sample(s)</t>
  </si>
  <si>
    <t>Reference Substance:</t>
  </si>
  <si>
    <t xml:space="preserve">BETAVERT 16MG TABLETS </t>
  </si>
  <si>
    <t>% age Purity:</t>
  </si>
  <si>
    <t>NDQD201705403</t>
  </si>
  <si>
    <t>Weight (mg):</t>
  </si>
  <si>
    <t>Betahistine Dihydrochloride BP 16mg</t>
  </si>
  <si>
    <t>Standard Conc (mg/mL):</t>
  </si>
  <si>
    <t>Each tablets contains betahistine dihydrochloride BP 24mg</t>
  </si>
  <si>
    <t>2017-05-23 12:00:21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</si>
  <si>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</si>
  <si>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</si>
  <si>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</si>
  <si>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</si>
  <si>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</si>
  <si>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</si>
  <si>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</si>
  <si>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</si>
  <si>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</si>
  <si>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</si>
  <si>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</si>
  <si>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</si>
  <si>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</si>
  <si>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</si>
  <si>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</si>
  <si>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</si>
  <si>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</si>
  <si>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</si>
  <si>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</si>
  <si>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</si>
  <si>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</si>
  <si>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</si>
  <si>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</si>
  <si>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</si>
  <si>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</si>
  <si>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</si>
  <si>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</si>
  <si>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</si>
  <si>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</si>
  <si>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</si>
  <si>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</si>
  <si>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</si>
  <si>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</si>
  <si>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</si>
  <si>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</si>
  <si>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</si>
  <si>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</si>
  <si>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</si>
  <si>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</si>
  <si>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</si>
  <si>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</si>
  <si>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</si>
  <si>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</si>
  <si>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</si>
  <si>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</si>
  <si>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</si>
  <si>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</si>
  <si>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</si>
  <si>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</si>
  <si>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</si>
  <si>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</si>
  <si>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</si>
  <si>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</si>
  <si>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</si>
  <si>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</si>
  <si>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</si>
  <si>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</si>
  <si>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</si>
  <si>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</si>
  <si>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</si>
  <si>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</si>
  <si>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</si>
  <si>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</si>
  <si>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</si>
  <si>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</si>
  <si>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</si>
  <si>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</si>
  <si>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</si>
  <si>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</si>
  <si>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</si>
  <si>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</si>
  <si>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</si>
  <si>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</si>
  <si>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</si>
  <si>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</si>
  <si>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</si>
  <si>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</si>
  <si>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</si>
  <si>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</si>
  <si>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</si>
  <si>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</si>
  <si>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</si>
  <si>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</si>
  <si>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</si>
  <si>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</si>
  <si>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</si>
  <si>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</si>
  <si>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</si>
  <si>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</si>
  <si>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</si>
  <si>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</si>
  <si>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</si>
  <si>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</si>
  <si>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</si>
  <si>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</si>
  <si>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</si>
  <si>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</si>
  <si>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</si>
  <si>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</si>
  <si>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</si>
  <si>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</si>
  <si>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</si>
  <si>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</si>
  <si>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</si>
  <si>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</si>
  <si>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</si>
  <si>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</si>
  <si>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</si>
  <si>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Betahistine Dihydrochloride</t>
  </si>
  <si>
    <t>B17-2</t>
  </si>
  <si>
    <t>25/05/2017</t>
  </si>
  <si>
    <t>26/05/2017</t>
  </si>
  <si>
    <t>16 mg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</si>
  <si>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</si>
  <si>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</si>
  <si>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</si>
  <si>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</si>
  <si>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</si>
  <si>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</si>
  <si>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</si>
  <si>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</si>
  <si>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</si>
  <si>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</si>
  <si>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</si>
  <si>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</si>
  <si>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</si>
  <si>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</si>
  <si>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</si>
  <si>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</si>
  <si>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</si>
  <si>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</si>
  <si>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</si>
  <si>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</si>
  <si>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</si>
  <si>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</si>
  <si>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</si>
  <si>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</si>
  <si>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</si>
  <si>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</si>
  <si>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</si>
  <si>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Each tablets contains betahistine dihydrochloride BP 16 mg</t>
  </si>
  <si>
    <t xml:space="preserve">BETAVERT 24MG TABLETS </t>
  </si>
  <si>
    <t>Betahistine Dihydrochloride BP 24mg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</si>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</sst>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  <numFmt numFmtId="174" formatCode="0.00\ &quot;%&quot;"/>
    <numFmt numFmtId="175" formatCode="0\ &quot;%&quot;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u/>
      <sz val="16"/>
      <color rgb="FF000000"/>
      <name val="Book Antiqua"/>
      <family val="1"/>
    </font>
    <font>
      <b/>
      <sz val="14"/>
      <color rgb="FF000000"/>
      <name val="Calibri"/>
      <family val="2"/>
    </font>
    <font>
      <b/>
      <sz val="36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2" fillId="2" borderId="0"/>
    <xf numFmtId="0" fontId="26" fillId="2" borderId="0"/>
  </cellStyleXfs>
  <cellXfs count="51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left"/>
      <protection locked="0"/>
    </xf>
    <xf numFmtId="0" fontId="12" fillId="2" borderId="0" xfId="0" applyFont="1" applyFill="1"/>
    <xf numFmtId="168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11" fillId="2" borderId="0" xfId="0" applyFont="1" applyFill="1" applyAlignment="1">
      <alignment horizontal="center"/>
    </xf>
    <xf numFmtId="0" fontId="15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3" fillId="3" borderId="30" xfId="0" applyFont="1" applyFill="1" applyBorder="1" applyAlignment="1" applyProtection="1">
      <alignment horizontal="center"/>
      <protection locked="0"/>
    </xf>
    <xf numFmtId="170" fontId="10" fillId="2" borderId="27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0" fillId="2" borderId="32" xfId="0" applyNumberFormat="1" applyFont="1" applyFill="1" applyBorder="1" applyAlignment="1">
      <alignment horizontal="center"/>
    </xf>
    <xf numFmtId="170" fontId="10" fillId="2" borderId="24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0" fillId="2" borderId="0" xfId="0" applyFont="1" applyFill="1"/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0" fontId="13" fillId="3" borderId="41" xfId="0" applyFont="1" applyFill="1" applyBorder="1" applyAlignment="1" applyProtection="1">
      <alignment horizontal="center"/>
      <protection locked="0"/>
    </xf>
    <xf numFmtId="1" fontId="10" fillId="2" borderId="0" xfId="0" applyNumberFormat="1" applyFont="1" applyFill="1" applyAlignment="1">
      <alignment horizontal="center"/>
    </xf>
    <xf numFmtId="0" fontId="10" fillId="2" borderId="30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1" fillId="2" borderId="44" xfId="0" applyFont="1" applyFill="1" applyBorder="1" applyAlignment="1">
      <alignment horizontal="center"/>
    </xf>
    <xf numFmtId="0" fontId="11" fillId="7" borderId="45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 wrapText="1"/>
    </xf>
    <xf numFmtId="0" fontId="11" fillId="7" borderId="25" xfId="0" applyFont="1" applyFill="1" applyBorder="1" applyAlignment="1">
      <alignment horizontal="center" wrapText="1"/>
    </xf>
    <xf numFmtId="0" fontId="10" fillId="2" borderId="30" xfId="0" applyFont="1" applyFill="1" applyBorder="1" applyAlignment="1">
      <alignment horizontal="center"/>
    </xf>
    <xf numFmtId="2" fontId="10" fillId="2" borderId="27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0" fillId="2" borderId="29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2" fontId="10" fillId="2" borderId="32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3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2" fontId="10" fillId="2" borderId="38" xfId="0" applyNumberFormat="1" applyFont="1" applyFill="1" applyBorder="1" applyAlignment="1">
      <alignment horizontal="center"/>
    </xf>
    <xf numFmtId="2" fontId="10" fillId="2" borderId="47" xfId="0" applyNumberFormat="1" applyFont="1" applyFill="1" applyBorder="1" applyAlignment="1">
      <alignment horizontal="center"/>
    </xf>
    <xf numFmtId="2" fontId="10" fillId="2" borderId="48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1" xfId="0" applyFont="1" applyFill="1" applyBorder="1"/>
    <xf numFmtId="0" fontId="10" fillId="2" borderId="23" xfId="0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2" fontId="11" fillId="5" borderId="49" xfId="0" applyNumberFormat="1" applyFont="1" applyFill="1" applyBorder="1" applyAlignment="1">
      <alignment horizontal="center"/>
    </xf>
    <xf numFmtId="2" fontId="13" fillId="5" borderId="49" xfId="0" applyNumberFormat="1" applyFont="1" applyFill="1" applyBorder="1" applyAlignment="1">
      <alignment horizontal="center"/>
    </xf>
    <xf numFmtId="10" fontId="11" fillId="6" borderId="49" xfId="0" applyNumberFormat="1" applyFont="1" applyFill="1" applyBorder="1" applyAlignment="1">
      <alignment horizontal="center"/>
    </xf>
    <xf numFmtId="10" fontId="13" fillId="6" borderId="49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2" fontId="11" fillId="5" borderId="50" xfId="0" applyNumberFormat="1" applyFont="1" applyFill="1" applyBorder="1" applyAlignment="1">
      <alignment horizontal="center"/>
    </xf>
    <xf numFmtId="2" fontId="13" fillId="5" borderId="50" xfId="0" applyNumberFormat="1" applyFont="1" applyFill="1" applyBorder="1" applyAlignment="1">
      <alignment horizontal="center"/>
    </xf>
    <xf numFmtId="0" fontId="10" fillId="2" borderId="0" xfId="0" applyFont="1" applyFill="1"/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71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2" fontId="10" fillId="2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 applyProtection="1">
      <alignment horizontal="center"/>
      <protection locked="0"/>
    </xf>
    <xf numFmtId="1" fontId="11" fillId="6" borderId="1" xfId="0" applyNumberFormat="1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7" fillId="2" borderId="0" xfId="0" applyFont="1" applyFill="1"/>
    <xf numFmtId="0" fontId="13" fillId="3" borderId="25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31" xfId="0" applyFont="1" applyFill="1" applyBorder="1" applyAlignment="1" applyProtection="1">
      <alignment horizontal="center"/>
      <protection locked="0"/>
    </xf>
    <xf numFmtId="170" fontId="10" fillId="2" borderId="4" xfId="0" applyNumberFormat="1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70" fontId="10" fillId="2" borderId="3" xfId="0" applyNumberFormat="1" applyFont="1" applyFill="1" applyBorder="1" applyAlignment="1">
      <alignment horizontal="center"/>
    </xf>
    <xf numFmtId="170" fontId="13" fillId="3" borderId="0" xfId="0" applyNumberFormat="1" applyFont="1" applyFill="1" applyAlignment="1" applyProtection="1">
      <alignment horizontal="center"/>
      <protection locked="0"/>
    </xf>
    <xf numFmtId="170" fontId="10" fillId="2" borderId="5" xfId="0" applyNumberFormat="1" applyFont="1" applyFill="1" applyBorder="1" applyAlignment="1">
      <alignment horizontal="center"/>
    </xf>
    <xf numFmtId="170" fontId="13" fillId="3" borderId="7" xfId="0" applyNumberFormat="1" applyFont="1" applyFill="1" applyBorder="1" applyAlignment="1" applyProtection="1">
      <alignment horizontal="center"/>
      <protection locked="0"/>
    </xf>
    <xf numFmtId="170" fontId="11" fillId="6" borderId="53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3" fillId="3" borderId="54" xfId="0" applyFont="1" applyFill="1" applyBorder="1" applyAlignment="1" applyProtection="1">
      <alignment horizontal="center"/>
      <protection locked="0"/>
    </xf>
    <xf numFmtId="2" fontId="10" fillId="6" borderId="49" xfId="0" applyNumberFormat="1" applyFont="1" applyFill="1" applyBorder="1" applyAlignment="1">
      <alignment horizontal="center"/>
    </xf>
    <xf numFmtId="2" fontId="10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0" fillId="2" borderId="26" xfId="0" applyFont="1" applyFill="1" applyBorder="1" applyAlignment="1">
      <alignment horizontal="right"/>
    </xf>
    <xf numFmtId="166" fontId="10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5" xfId="0" applyFont="1" applyFill="1" applyBorder="1" applyAlignment="1">
      <alignment horizontal="right"/>
    </xf>
    <xf numFmtId="2" fontId="10" fillId="7" borderId="28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1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1" fillId="7" borderId="17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1" fillId="2" borderId="46" xfId="0" applyFont="1" applyFill="1" applyBorder="1"/>
    <xf numFmtId="0" fontId="11" fillId="2" borderId="25" xfId="0" applyFont="1" applyFill="1" applyBorder="1" applyAlignment="1">
      <alignment horizontal="center" wrapText="1"/>
    </xf>
    <xf numFmtId="170" fontId="13" fillId="3" borderId="32" xfId="0" applyNumberFormat="1" applyFont="1" applyFill="1" applyBorder="1" applyAlignment="1" applyProtection="1">
      <alignment horizontal="center"/>
      <protection locked="0"/>
    </xf>
    <xf numFmtId="2" fontId="10" fillId="2" borderId="27" xfId="0" applyNumberFormat="1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2" fontId="10" fillId="2" borderId="32" xfId="0" applyNumberFormat="1" applyFont="1" applyFill="1" applyBorder="1" applyAlignment="1">
      <alignment horizontal="center"/>
    </xf>
    <xf numFmtId="10" fontId="10" fillId="2" borderId="24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70" fontId="13" fillId="3" borderId="35" xfId="0" applyNumberFormat="1" applyFont="1" applyFill="1" applyBorder="1" applyAlignment="1" applyProtection="1">
      <alignment horizontal="center"/>
      <protection locked="0"/>
    </xf>
    <xf numFmtId="2" fontId="10" fillId="2" borderId="35" xfId="0" applyNumberFormat="1" applyFont="1" applyFill="1" applyBorder="1" applyAlignment="1">
      <alignment horizontal="center"/>
    </xf>
    <xf numFmtId="10" fontId="10" fillId="2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3" fillId="7" borderId="49" xfId="0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2" borderId="10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right"/>
    </xf>
    <xf numFmtId="0" fontId="12" fillId="3" borderId="0" xfId="0" applyFont="1" applyFill="1" applyAlignment="1" applyProtection="1">
      <alignment horizontal="left"/>
      <protection locked="0"/>
    </xf>
    <xf numFmtId="0" fontId="12" fillId="3" borderId="4" xfId="0" applyFont="1" applyFill="1" applyBorder="1" applyAlignment="1" applyProtection="1">
      <alignment horizontal="center" wrapText="1"/>
      <protection locked="0"/>
    </xf>
    <xf numFmtId="0" fontId="12" fillId="3" borderId="3" xfId="0" applyFont="1" applyFill="1" applyBorder="1" applyAlignment="1" applyProtection="1">
      <alignment horizontal="center" wrapText="1"/>
      <protection locked="0"/>
    </xf>
    <xf numFmtId="0" fontId="12" fillId="3" borderId="47" xfId="0" applyFont="1" applyFill="1" applyBorder="1" applyAlignment="1" applyProtection="1">
      <alignment horizontal="center" wrapText="1"/>
      <protection locked="0"/>
    </xf>
    <xf numFmtId="0" fontId="2" fillId="2" borderId="0" xfId="1" applyFont="1" applyFill="1"/>
    <xf numFmtId="0" fontId="22" fillId="2" borderId="0" xfId="1" applyFill="1"/>
    <xf numFmtId="0" fontId="10" fillId="2" borderId="0" xfId="1" applyFont="1" applyFill="1"/>
    <xf numFmtId="0" fontId="11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2" fillId="2" borderId="0" xfId="1" applyFont="1" applyFill="1"/>
    <xf numFmtId="0" fontId="10" fillId="3" borderId="0" xfId="1" applyFont="1" applyFill="1" applyProtection="1">
      <protection locked="0"/>
    </xf>
    <xf numFmtId="172" fontId="12" fillId="3" borderId="0" xfId="1" applyNumberFormat="1" applyFont="1" applyFill="1" applyAlignment="1" applyProtection="1">
      <alignment horizontal="center"/>
      <protection locked="0"/>
    </xf>
    <xf numFmtId="168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2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24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vertical="center" wrapText="1"/>
    </xf>
    <xf numFmtId="0" fontId="14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69" fontId="11" fillId="2" borderId="0" xfId="1" applyNumberFormat="1" applyFont="1" applyFill="1" applyAlignment="1">
      <alignment horizontal="center"/>
    </xf>
    <xf numFmtId="0" fontId="10" fillId="2" borderId="21" xfId="1" applyFont="1" applyFill="1" applyBorder="1" applyAlignment="1">
      <alignment horizontal="right"/>
    </xf>
    <xf numFmtId="0" fontId="13" fillId="3" borderId="25" xfId="1" applyFont="1" applyFill="1" applyBorder="1" applyAlignment="1" applyProtection="1">
      <alignment horizontal="center"/>
      <protection locked="0"/>
    </xf>
    <xf numFmtId="0" fontId="10" fillId="2" borderId="23" xfId="1" applyFont="1" applyFill="1" applyBorder="1" applyAlignment="1">
      <alignment horizontal="right"/>
    </xf>
    <xf numFmtId="0" fontId="13" fillId="3" borderId="31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center"/>
    </xf>
    <xf numFmtId="0" fontId="11" fillId="2" borderId="26" xfId="1" applyFont="1" applyFill="1" applyBorder="1" applyAlignment="1">
      <alignment horizontal="center"/>
    </xf>
    <xf numFmtId="0" fontId="11" fillId="2" borderId="27" xfId="1" applyFont="1" applyFill="1" applyBorder="1" applyAlignment="1">
      <alignment horizontal="center"/>
    </xf>
    <xf numFmtId="0" fontId="11" fillId="2" borderId="49" xfId="1" applyFont="1" applyFill="1" applyBorder="1" applyAlignment="1">
      <alignment horizontal="center"/>
    </xf>
    <xf numFmtId="0" fontId="11" fillId="2" borderId="12" xfId="1" applyFont="1" applyFill="1" applyBorder="1" applyAlignment="1">
      <alignment horizontal="center"/>
    </xf>
    <xf numFmtId="0" fontId="10" fillId="2" borderId="29" xfId="1" applyFont="1" applyFill="1" applyBorder="1" applyAlignment="1">
      <alignment horizontal="center"/>
    </xf>
    <xf numFmtId="0" fontId="13" fillId="3" borderId="30" xfId="1" applyFont="1" applyFill="1" applyBorder="1" applyAlignment="1" applyProtection="1">
      <alignment horizontal="center"/>
      <protection locked="0"/>
    </xf>
    <xf numFmtId="170" fontId="10" fillId="2" borderId="27" xfId="1" applyNumberFormat="1" applyFont="1" applyFill="1" applyBorder="1" applyAlignment="1">
      <alignment horizontal="center"/>
    </xf>
    <xf numFmtId="170" fontId="10" fillId="2" borderId="28" xfId="1" applyNumberFormat="1" applyFont="1" applyFill="1" applyBorder="1" applyAlignment="1">
      <alignment horizontal="center"/>
    </xf>
    <xf numFmtId="0" fontId="14" fillId="2" borderId="13" xfId="1" applyFont="1" applyFill="1" applyBorder="1"/>
    <xf numFmtId="0" fontId="10" fillId="2" borderId="31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0" fontId="10" fillId="2" borderId="32" xfId="1" applyNumberFormat="1" applyFont="1" applyFill="1" applyBorder="1" applyAlignment="1">
      <alignment horizontal="center"/>
    </xf>
    <xf numFmtId="170" fontId="10" fillId="2" borderId="24" xfId="1" applyNumberFormat="1" applyFont="1" applyFill="1" applyBorder="1" applyAlignment="1">
      <alignment horizontal="center"/>
    </xf>
    <xf numFmtId="0" fontId="10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0" fontId="10" fillId="2" borderId="35" xfId="1" applyNumberFormat="1" applyFont="1" applyFill="1" applyBorder="1" applyAlignment="1">
      <alignment horizontal="center"/>
    </xf>
    <xf numFmtId="170" fontId="10" fillId="2" borderId="36" xfId="1" applyNumberFormat="1" applyFont="1" applyFill="1" applyBorder="1" applyAlignment="1">
      <alignment horizontal="center"/>
    </xf>
    <xf numFmtId="0" fontId="10" fillId="2" borderId="15" xfId="1" applyFont="1" applyFill="1" applyBorder="1"/>
    <xf numFmtId="0" fontId="10" fillId="2" borderId="31" xfId="1" applyFont="1" applyFill="1" applyBorder="1" applyAlignment="1">
      <alignment horizontal="right"/>
    </xf>
    <xf numFmtId="1" fontId="11" fillId="6" borderId="37" xfId="1" applyNumberFormat="1" applyFont="1" applyFill="1" applyBorder="1" applyAlignment="1">
      <alignment horizontal="center"/>
    </xf>
    <xf numFmtId="170" fontId="11" fillId="6" borderId="38" xfId="1" applyNumberFormat="1" applyFont="1" applyFill="1" applyBorder="1" applyAlignment="1">
      <alignment horizontal="center"/>
    </xf>
    <xf numFmtId="170" fontId="11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41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7" borderId="41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166" fontId="10" fillId="6" borderId="41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6" borderId="17" xfId="1" applyNumberFormat="1" applyFont="1" applyFill="1" applyBorder="1" applyAlignment="1">
      <alignment horizontal="center"/>
    </xf>
    <xf numFmtId="0" fontId="10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30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15" xfId="1" applyFont="1" applyFill="1" applyBorder="1" applyAlignment="1">
      <alignment horizontal="right"/>
    </xf>
    <xf numFmtId="2" fontId="10" fillId="6" borderId="15" xfId="1" applyNumberFormat="1" applyFont="1" applyFill="1" applyBorder="1" applyAlignment="1">
      <alignment horizontal="center"/>
    </xf>
    <xf numFmtId="170" fontId="11" fillId="7" borderId="13" xfId="1" applyNumberFormat="1" applyFont="1" applyFill="1" applyBorder="1" applyAlignment="1">
      <alignment horizontal="center"/>
    </xf>
    <xf numFmtId="170" fontId="10" fillId="2" borderId="0" xfId="1" applyNumberFormat="1" applyFont="1" applyFill="1" applyAlignment="1">
      <alignment horizontal="center"/>
    </xf>
    <xf numFmtId="10" fontId="10" fillId="6" borderId="41" xfId="1" applyNumberFormat="1" applyFont="1" applyFill="1" applyBorder="1" applyAlignment="1">
      <alignment horizontal="center"/>
    </xf>
    <xf numFmtId="0" fontId="10" fillId="2" borderId="43" xfId="1" applyFont="1" applyFill="1" applyBorder="1" applyAlignment="1">
      <alignment horizontal="right"/>
    </xf>
    <xf numFmtId="0" fontId="10" fillId="7" borderId="15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3" fontId="13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0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0" fillId="2" borderId="21" xfId="1" applyNumberFormat="1" applyFont="1" applyFill="1" applyBorder="1" applyAlignment="1">
      <alignment horizontal="center"/>
    </xf>
    <xf numFmtId="174" fontId="10" fillId="2" borderId="13" xfId="1" applyNumberFormat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/>
    </xf>
    <xf numFmtId="166" fontId="10" fillId="2" borderId="23" xfId="1" applyNumberFormat="1" applyFont="1" applyFill="1" applyBorder="1" applyAlignment="1">
      <alignment horizontal="center"/>
    </xf>
    <xf numFmtId="174" fontId="10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0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0" fillId="2" borderId="43" xfId="1" applyNumberFormat="1" applyFont="1" applyFill="1" applyBorder="1" applyAlignment="1">
      <alignment horizontal="center"/>
    </xf>
    <xf numFmtId="174" fontId="10" fillId="2" borderId="15" xfId="1" applyNumberFormat="1" applyFont="1" applyFill="1" applyBorder="1" applyAlignment="1">
      <alignment horizontal="center" vertical="center"/>
    </xf>
    <xf numFmtId="0" fontId="12" fillId="2" borderId="31" xfId="1" applyFont="1" applyFill="1" applyBorder="1" applyAlignment="1">
      <alignment horizontal="center"/>
    </xf>
    <xf numFmtId="2" fontId="12" fillId="2" borderId="48" xfId="1" applyNumberFormat="1" applyFont="1" applyFill="1" applyBorder="1" applyAlignment="1">
      <alignment horizontal="center"/>
    </xf>
    <xf numFmtId="0" fontId="10" fillId="2" borderId="60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4" fontId="13" fillId="7" borderId="33" xfId="1" applyNumberFormat="1" applyFont="1" applyFill="1" applyBorder="1" applyAlignment="1">
      <alignment horizontal="center"/>
    </xf>
    <xf numFmtId="0" fontId="10" fillId="2" borderId="41" xfId="1" applyFont="1" applyFill="1" applyBorder="1" applyAlignment="1">
      <alignment horizontal="right"/>
    </xf>
    <xf numFmtId="10" fontId="13" fillId="6" borderId="61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0" fontId="13" fillId="7" borderId="62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1" fillId="2" borderId="51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0" fillId="2" borderId="52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170" fontId="13" fillId="3" borderId="34" xfId="1" applyNumberFormat="1" applyFont="1" applyFill="1" applyBorder="1" applyAlignment="1" applyProtection="1">
      <alignment horizontal="center"/>
      <protection locked="0"/>
    </xf>
    <xf numFmtId="1" fontId="11" fillId="6" borderId="63" xfId="1" applyNumberFormat="1" applyFont="1" applyFill="1" applyBorder="1" applyAlignment="1">
      <alignment horizontal="center"/>
    </xf>
    <xf numFmtId="1" fontId="11" fillId="6" borderId="53" xfId="1" applyNumberFormat="1" applyFont="1" applyFill="1" applyBorder="1" applyAlignment="1">
      <alignment horizontal="center"/>
    </xf>
    <xf numFmtId="170" fontId="11" fillId="6" borderId="15" xfId="1" applyNumberFormat="1" applyFont="1" applyFill="1" applyBorder="1" applyAlignment="1">
      <alignment horizontal="center"/>
    </xf>
    <xf numFmtId="0" fontId="10" fillId="2" borderId="64" xfId="1" applyFont="1" applyFill="1" applyBorder="1" applyAlignment="1">
      <alignment horizontal="right"/>
    </xf>
    <xf numFmtId="0" fontId="13" fillId="3" borderId="54" xfId="1" applyFont="1" applyFill="1" applyBorder="1" applyAlignment="1" applyProtection="1">
      <alignment horizontal="center"/>
      <protection locked="0"/>
    </xf>
    <xf numFmtId="0" fontId="10" fillId="2" borderId="26" xfId="1" applyFont="1" applyFill="1" applyBorder="1" applyAlignment="1">
      <alignment horizontal="right"/>
    </xf>
    <xf numFmtId="2" fontId="10" fillId="6" borderId="49" xfId="1" applyNumberFormat="1" applyFont="1" applyFill="1" applyBorder="1" applyAlignment="1">
      <alignment horizontal="center"/>
    </xf>
    <xf numFmtId="2" fontId="10" fillId="7" borderId="49" xfId="1" applyNumberFormat="1" applyFont="1" applyFill="1" applyBorder="1" applyAlignment="1">
      <alignment horizontal="center"/>
    </xf>
    <xf numFmtId="166" fontId="10" fillId="6" borderId="49" xfId="1" applyNumberFormat="1" applyFont="1" applyFill="1" applyBorder="1" applyAlignment="1">
      <alignment horizontal="center"/>
    </xf>
    <xf numFmtId="166" fontId="10" fillId="7" borderId="4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55" xfId="1" applyFont="1" applyFill="1" applyBorder="1" applyAlignment="1">
      <alignment horizontal="right"/>
    </xf>
    <xf numFmtId="2" fontId="10" fillId="7" borderId="28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6" xfId="1" applyFont="1" applyFill="1" applyBorder="1" applyAlignment="1">
      <alignment horizontal="right"/>
    </xf>
    <xf numFmtId="170" fontId="11" fillId="7" borderId="16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7" borderId="17" xfId="1" applyFont="1" applyFill="1" applyBorder="1" applyAlignment="1">
      <alignment horizontal="center"/>
    </xf>
    <xf numFmtId="0" fontId="11" fillId="2" borderId="25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0" fillId="2" borderId="13" xfId="1" applyNumberFormat="1" applyFont="1" applyFill="1" applyBorder="1" applyAlignment="1">
      <alignment horizontal="center"/>
    </xf>
    <xf numFmtId="174" fontId="10" fillId="2" borderId="25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0" fillId="2" borderId="14" xfId="1" applyNumberFormat="1" applyFont="1" applyFill="1" applyBorder="1" applyAlignment="1">
      <alignment horizontal="center"/>
    </xf>
    <xf numFmtId="174" fontId="10" fillId="2" borderId="31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0" fillId="2" borderId="15" xfId="1" applyNumberFormat="1" applyFont="1" applyFill="1" applyBorder="1" applyAlignment="1">
      <alignment horizontal="center"/>
    </xf>
    <xf numFmtId="174" fontId="10" fillId="2" borderId="48" xfId="1" applyNumberFormat="1" applyFont="1" applyFill="1" applyBorder="1" applyAlignment="1">
      <alignment horizontal="center"/>
    </xf>
    <xf numFmtId="0" fontId="10" fillId="2" borderId="23" xfId="1" applyFont="1" applyFill="1" applyBorder="1" applyAlignment="1">
      <alignment horizontal="center"/>
    </xf>
    <xf numFmtId="170" fontId="10" fillId="2" borderId="16" xfId="1" applyNumberFormat="1" applyFont="1" applyFill="1" applyBorder="1" applyAlignment="1">
      <alignment horizontal="right"/>
    </xf>
    <xf numFmtId="2" fontId="13" fillId="7" borderId="59" xfId="1" applyNumberFormat="1" applyFont="1" applyFill="1" applyBorder="1" applyAlignment="1">
      <alignment horizontal="center"/>
    </xf>
    <xf numFmtId="171" fontId="13" fillId="7" borderId="54" xfId="1" applyNumberFormat="1" applyFont="1" applyFill="1" applyBorder="1" applyAlignment="1">
      <alignment horizontal="center"/>
    </xf>
    <xf numFmtId="0" fontId="10" fillId="2" borderId="23" xfId="1" applyFont="1" applyFill="1" applyBorder="1"/>
    <xf numFmtId="0" fontId="10" fillId="2" borderId="14" xfId="1" applyFont="1" applyFill="1" applyBorder="1" applyAlignment="1">
      <alignment horizontal="right"/>
    </xf>
    <xf numFmtId="10" fontId="13" fillId="6" borderId="49" xfId="1" applyNumberFormat="1" applyFont="1" applyFill="1" applyBorder="1" applyAlignment="1">
      <alignment horizontal="center"/>
    </xf>
    <xf numFmtId="0" fontId="10" fillId="2" borderId="43" xfId="1" applyFont="1" applyFill="1" applyBorder="1"/>
    <xf numFmtId="0" fontId="13" fillId="7" borderId="29" xfId="1" applyFont="1" applyFill="1" applyBorder="1" applyAlignment="1">
      <alignment horizontal="center"/>
    </xf>
    <xf numFmtId="0" fontId="13" fillId="7" borderId="65" xfId="1" applyFont="1" applyFill="1" applyBorder="1" applyAlignment="1">
      <alignment horizontal="center"/>
    </xf>
    <xf numFmtId="0" fontId="10" fillId="2" borderId="13" xfId="1" applyFont="1" applyFill="1" applyBorder="1"/>
    <xf numFmtId="0" fontId="16" fillId="2" borderId="0" xfId="1" applyFont="1" applyFill="1" applyAlignment="1">
      <alignment horizontal="right" vertical="center" wrapText="1"/>
    </xf>
    <xf numFmtId="2" fontId="13" fillId="6" borderId="61" xfId="1" applyNumberFormat="1" applyFont="1" applyFill="1" applyBorder="1" applyAlignment="1">
      <alignment horizontal="center"/>
    </xf>
    <xf numFmtId="171" fontId="13" fillId="6" borderId="61" xfId="1" applyNumberFormat="1" applyFont="1" applyFill="1" applyBorder="1" applyAlignment="1">
      <alignment horizontal="center"/>
    </xf>
    <xf numFmtId="2" fontId="13" fillId="7" borderId="62" xfId="1" applyNumberFormat="1" applyFont="1" applyFill="1" applyBorder="1" applyAlignment="1">
      <alignment horizontal="center"/>
    </xf>
    <xf numFmtId="171" fontId="13" fillId="7" borderId="62" xfId="1" applyNumberFormat="1" applyFont="1" applyFill="1" applyBorder="1" applyAlignment="1">
      <alignment horizontal="center"/>
    </xf>
    <xf numFmtId="175" fontId="25" fillId="2" borderId="0" xfId="1" applyNumberFormat="1" applyFont="1" applyFill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/>
    <xf numFmtId="0" fontId="10" fillId="2" borderId="10" xfId="1" applyFont="1" applyFill="1" applyBorder="1" applyAlignment="1">
      <alignment horizontal="center"/>
    </xf>
    <xf numFmtId="0" fontId="10" fillId="2" borderId="7" xfId="1" applyFont="1" applyFill="1" applyBorder="1"/>
    <xf numFmtId="0" fontId="11" fillId="2" borderId="11" xfId="1" applyFont="1" applyFill="1" applyBorder="1"/>
    <xf numFmtId="0" fontId="10" fillId="2" borderId="11" xfId="1" applyFont="1" applyFill="1" applyBorder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1" fillId="2" borderId="51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5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1" fillId="2" borderId="4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10" fontId="24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25" xfId="1" applyFont="1" applyFill="1" applyBorder="1" applyAlignment="1">
      <alignment horizontal="left" vertical="center" wrapText="1"/>
    </xf>
    <xf numFmtId="0" fontId="16" fillId="2" borderId="48" xfId="1" applyFont="1" applyFill="1" applyBorder="1" applyAlignment="1">
      <alignment horizontal="left" vertical="center" wrapText="1"/>
    </xf>
    <xf numFmtId="0" fontId="11" fillId="2" borderId="51" xfId="1" applyFont="1" applyFill="1" applyBorder="1" applyAlignment="1">
      <alignment horizontal="center" vertical="center"/>
    </xf>
    <xf numFmtId="0" fontId="11" fillId="2" borderId="59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11" fillId="2" borderId="51" xfId="1" applyFont="1" applyFill="1" applyBorder="1" applyAlignment="1">
      <alignment horizontal="center"/>
    </xf>
    <xf numFmtId="0" fontId="11" fillId="2" borderId="59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4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5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8" xfId="1" applyFont="1" applyFill="1" applyBorder="1" applyAlignment="1">
      <alignment horizontal="center" vertical="center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2" fillId="3" borderId="0" xfId="1" applyFont="1" applyFill="1" applyAlignment="1" applyProtection="1">
      <alignment horizontal="left" wrapText="1"/>
      <protection locked="0"/>
    </xf>
    <xf numFmtId="0" fontId="12" fillId="3" borderId="0" xfId="1" applyFont="1" applyFill="1" applyAlignment="1" applyProtection="1">
      <alignment horizontal="left"/>
      <protection locked="0"/>
    </xf>
    <xf numFmtId="0" fontId="27" fillId="2" borderId="0" xfId="2" applyFont="1" applyFill="1"/>
    <xf numFmtId="0" fontId="28" fillId="2" borderId="0" xfId="2" applyFont="1" applyFill="1"/>
    <xf numFmtId="0" fontId="28" fillId="2" borderId="0" xfId="2" applyFont="1" applyFill="1" applyAlignment="1">
      <alignment horizontal="righ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30" fillId="2" borderId="0" xfId="2" applyFont="1" applyFill="1" applyAlignment="1">
      <alignment horizontal="left"/>
    </xf>
    <xf numFmtId="0" fontId="31" fillId="2" borderId="0" xfId="2" applyFont="1" applyFill="1" applyAlignment="1">
      <alignment horizontal="left"/>
    </xf>
    <xf numFmtId="0" fontId="31" fillId="2" borderId="0" xfId="2" applyFont="1" applyFill="1" applyAlignment="1">
      <alignment horizontal="center"/>
    </xf>
    <xf numFmtId="0" fontId="32" fillId="2" borderId="0" xfId="2" applyFont="1" applyFill="1"/>
    <xf numFmtId="0" fontId="31" fillId="2" borderId="0" xfId="2" applyFont="1" applyFill="1"/>
    <xf numFmtId="2" fontId="31" fillId="2" borderId="0" xfId="2" applyNumberFormat="1" applyFont="1" applyFill="1" applyAlignment="1">
      <alignment horizontal="center"/>
    </xf>
    <xf numFmtId="164" fontId="31" fillId="2" borderId="0" xfId="2" applyNumberFormat="1" applyFont="1" applyFill="1" applyAlignment="1">
      <alignment horizontal="center"/>
    </xf>
    <xf numFmtId="0" fontId="31" fillId="2" borderId="1" xfId="2" applyFont="1" applyFill="1" applyBorder="1" applyAlignment="1">
      <alignment horizontal="center"/>
    </xf>
    <xf numFmtId="0" fontId="31" fillId="2" borderId="2" xfId="2" applyFont="1" applyFill="1" applyBorder="1" applyAlignment="1">
      <alignment horizontal="center"/>
    </xf>
    <xf numFmtId="0" fontId="32" fillId="2" borderId="3" xfId="2" applyFont="1" applyFill="1" applyBorder="1" applyAlignment="1">
      <alignment horizontal="center"/>
    </xf>
    <xf numFmtId="0" fontId="33" fillId="3" borderId="3" xfId="2" applyFont="1" applyFill="1" applyBorder="1" applyAlignment="1" applyProtection="1">
      <alignment horizontal="center"/>
      <protection locked="0"/>
    </xf>
    <xf numFmtId="2" fontId="33" fillId="3" borderId="3" xfId="2" applyNumberFormat="1" applyFont="1" applyFill="1" applyBorder="1" applyAlignment="1" applyProtection="1">
      <alignment horizontal="center"/>
      <protection locked="0"/>
    </xf>
    <xf numFmtId="2" fontId="33" fillId="3" borderId="4" xfId="2" applyNumberFormat="1" applyFont="1" applyFill="1" applyBorder="1" applyAlignment="1" applyProtection="1">
      <alignment horizontal="center"/>
      <protection locked="0"/>
    </xf>
    <xf numFmtId="0" fontId="33" fillId="3" borderId="5" xfId="2" applyFont="1" applyFill="1" applyBorder="1" applyAlignment="1" applyProtection="1">
      <alignment horizontal="center"/>
      <protection locked="0"/>
    </xf>
    <xf numFmtId="2" fontId="33" fillId="3" borderId="5" xfId="2" applyNumberFormat="1" applyFont="1" applyFill="1" applyBorder="1" applyAlignment="1" applyProtection="1">
      <alignment horizontal="center"/>
      <protection locked="0"/>
    </xf>
    <xf numFmtId="0" fontId="32" fillId="2" borderId="4" xfId="2" applyFont="1" applyFill="1" applyBorder="1"/>
    <xf numFmtId="1" fontId="31" fillId="4" borderId="2" xfId="2" applyNumberFormat="1" applyFont="1" applyFill="1" applyBorder="1" applyAlignment="1">
      <alignment horizontal="center"/>
    </xf>
    <xf numFmtId="1" fontId="31" fillId="4" borderId="1" xfId="2" applyNumberFormat="1" applyFont="1" applyFill="1" applyBorder="1" applyAlignment="1">
      <alignment horizontal="center"/>
    </xf>
    <xf numFmtId="2" fontId="31" fillId="4" borderId="1" xfId="2" applyNumberFormat="1" applyFont="1" applyFill="1" applyBorder="1" applyAlignment="1">
      <alignment horizontal="center"/>
    </xf>
    <xf numFmtId="0" fontId="32" fillId="2" borderId="3" xfId="2" applyFont="1" applyFill="1" applyBorder="1"/>
    <xf numFmtId="10" fontId="31" fillId="5" borderId="1" xfId="2" applyNumberFormat="1" applyFont="1" applyFill="1" applyBorder="1" applyAlignment="1">
      <alignment horizontal="center"/>
    </xf>
    <xf numFmtId="165" fontId="31" fillId="2" borderId="0" xfId="2" applyNumberFormat="1" applyFont="1" applyFill="1" applyAlignment="1">
      <alignment horizontal="center"/>
    </xf>
    <xf numFmtId="0" fontId="32" fillId="2" borderId="6" xfId="2" applyFont="1" applyFill="1" applyBorder="1"/>
    <xf numFmtId="0" fontId="32" fillId="2" borderId="5" xfId="2" applyFont="1" applyFill="1" applyBorder="1"/>
    <xf numFmtId="0" fontId="31" fillId="4" borderId="1" xfId="2" applyFont="1" applyFill="1" applyBorder="1" applyAlignment="1">
      <alignment horizontal="center"/>
    </xf>
    <xf numFmtId="0" fontId="31" fillId="2" borderId="7" xfId="2" applyFont="1" applyFill="1" applyBorder="1" applyAlignment="1">
      <alignment horizontal="center"/>
    </xf>
    <xf numFmtId="0" fontId="32" fillId="2" borderId="7" xfId="2" applyFont="1" applyFill="1" applyBorder="1"/>
    <xf numFmtId="0" fontId="32" fillId="2" borderId="8" xfId="2" applyFont="1" applyFill="1" applyBorder="1"/>
    <xf numFmtId="0" fontId="32" fillId="2" borderId="0" xfId="2" applyFont="1" applyFill="1" applyAlignment="1" applyProtection="1">
      <alignment horizontal="left"/>
      <protection locked="0"/>
    </xf>
    <xf numFmtId="0" fontId="32" fillId="2" borderId="0" xfId="2" applyFont="1" applyFill="1" applyProtection="1">
      <protection locked="0"/>
    </xf>
    <xf numFmtId="0" fontId="28" fillId="2" borderId="9" xfId="2" applyFont="1" applyFill="1" applyBorder="1"/>
    <xf numFmtId="0" fontId="28" fillId="2" borderId="0" xfId="2" applyFont="1" applyFill="1" applyAlignment="1">
      <alignment horizontal="center"/>
    </xf>
    <xf numFmtId="10" fontId="28" fillId="2" borderId="9" xfId="2" applyNumberFormat="1" applyFont="1" applyFill="1" applyBorder="1"/>
    <xf numFmtId="0" fontId="26" fillId="2" borderId="0" xfId="2" applyFill="1"/>
    <xf numFmtId="0" fontId="27" fillId="2" borderId="10" xfId="2" applyFont="1" applyFill="1" applyBorder="1" applyAlignment="1">
      <alignment horizontal="center"/>
    </xf>
    <xf numFmtId="0" fontId="27" fillId="2" borderId="10" xfId="2" applyFont="1" applyFill="1" applyBorder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27" fillId="2" borderId="0" xfId="2" applyFont="1" applyFill="1" applyAlignment="1">
      <alignment horizontal="right"/>
    </xf>
    <xf numFmtId="0" fontId="28" fillId="2" borderId="7" xfId="2" applyFont="1" applyFill="1" applyBorder="1"/>
    <xf numFmtId="0" fontId="27" fillId="2" borderId="11" xfId="2" applyFont="1" applyFill="1" applyBorder="1"/>
    <xf numFmtId="0" fontId="28" fillId="2" borderId="11" xfId="2" applyFont="1" applyFill="1" applyBorder="1"/>
    <xf numFmtId="0" fontId="13" fillId="8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tto\AppData\Local\Temp\NDQD20170540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Betahistine Dihydrochloride"/>
      <sheetName val="Betahistine Dihydrochloride 1"/>
    </sheetNames>
    <sheetDataSet>
      <sheetData sheetId="0"/>
      <sheetData sheetId="1">
        <row r="46">
          <cell r="C46">
            <v>300.54450000000003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6" workbookViewId="0">
      <selection activeCell="F44" sqref="F44"/>
    </sheetView>
  </sheetViews>
  <sheetFormatPr defaultRowHeight="13.5" x14ac:dyDescent="0.25"/>
  <cols>
    <col min="1" max="1" width="27.5703125" style="470" customWidth="1"/>
    <col min="2" max="2" width="20.42578125" style="470" customWidth="1"/>
    <col min="3" max="3" width="31.85546875" style="470" customWidth="1"/>
    <col min="4" max="4" width="25.85546875" style="470" customWidth="1"/>
    <col min="5" max="5" width="25.7109375" style="470" customWidth="1"/>
    <col min="6" max="6" width="23.140625" style="470" customWidth="1"/>
    <col min="7" max="7" width="28.42578125" style="470" customWidth="1"/>
    <col min="8" max="8" width="21.5703125" style="470" customWidth="1"/>
    <col min="9" max="9" width="9.140625" style="470" customWidth="1"/>
    <col min="10" max="16384" width="9.140625" style="507"/>
  </cols>
  <sheetData>
    <row r="14" spans="1:6" ht="15" customHeight="1" x14ac:dyDescent="0.3">
      <c r="A14" s="469"/>
      <c r="C14" s="471"/>
      <c r="F14" s="471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473" t="s">
        <v>1</v>
      </c>
      <c r="B16" s="474" t="s">
        <v>2</v>
      </c>
    </row>
    <row r="17" spans="1:5" ht="16.5" customHeight="1" x14ac:dyDescent="0.3">
      <c r="A17" s="475" t="s">
        <v>3</v>
      </c>
      <c r="B17" s="475" t="s">
        <v>154</v>
      </c>
      <c r="D17" s="476"/>
      <c r="E17" s="477"/>
    </row>
    <row r="18" spans="1:5" ht="16.5" customHeight="1" x14ac:dyDescent="0.3">
      <c r="A18" s="478" t="s">
        <v>4</v>
      </c>
      <c r="B18" s="470" t="s">
        <v>155</v>
      </c>
      <c r="C18" s="477"/>
      <c r="D18" s="477"/>
      <c r="E18" s="477"/>
    </row>
    <row r="19" spans="1:5" ht="16.5" customHeight="1" x14ac:dyDescent="0.3">
      <c r="A19" s="478" t="s">
        <v>6</v>
      </c>
      <c r="B19" s="479">
        <v>99.5</v>
      </c>
      <c r="C19" s="477"/>
      <c r="D19" s="477"/>
      <c r="E19" s="477"/>
    </row>
    <row r="20" spans="1:5" ht="16.5" customHeight="1" x14ac:dyDescent="0.3">
      <c r="A20" s="475" t="s">
        <v>8</v>
      </c>
      <c r="B20" s="479">
        <v>17.489999999999998</v>
      </c>
      <c r="C20" s="477"/>
      <c r="D20" s="477"/>
      <c r="E20" s="477"/>
    </row>
    <row r="21" spans="1:5" ht="16.5" customHeight="1" x14ac:dyDescent="0.3">
      <c r="A21" s="475" t="s">
        <v>10</v>
      </c>
      <c r="B21" s="480">
        <f>17.49/50</f>
        <v>0.34979999999999994</v>
      </c>
      <c r="C21" s="477"/>
      <c r="D21" s="477"/>
      <c r="E21" s="477"/>
    </row>
    <row r="22" spans="1:5" ht="15.75" customHeight="1" x14ac:dyDescent="0.25">
      <c r="A22" s="477"/>
      <c r="B22" s="477"/>
      <c r="C22" s="477"/>
      <c r="D22" s="477"/>
      <c r="E22" s="477"/>
    </row>
    <row r="23" spans="1:5" ht="16.5" customHeight="1" x14ac:dyDescent="0.3">
      <c r="A23" s="481" t="s">
        <v>13</v>
      </c>
      <c r="B23" s="482" t="s">
        <v>14</v>
      </c>
      <c r="C23" s="481" t="s">
        <v>15</v>
      </c>
      <c r="D23" s="481" t="s">
        <v>16</v>
      </c>
      <c r="E23" s="481" t="s">
        <v>17</v>
      </c>
    </row>
    <row r="24" spans="1:5" ht="16.5" customHeight="1" x14ac:dyDescent="0.3">
      <c r="A24" s="483">
        <v>1</v>
      </c>
      <c r="B24" s="484">
        <v>68850067</v>
      </c>
      <c r="C24" s="484">
        <v>3155.31</v>
      </c>
      <c r="D24" s="485">
        <v>1.44</v>
      </c>
      <c r="E24" s="486">
        <v>3.54</v>
      </c>
    </row>
    <row r="25" spans="1:5" ht="16.5" customHeight="1" x14ac:dyDescent="0.3">
      <c r="A25" s="483">
        <v>2</v>
      </c>
      <c r="B25" s="484">
        <v>68658863</v>
      </c>
      <c r="C25" s="484">
        <v>3179.78</v>
      </c>
      <c r="D25" s="485">
        <v>1.44</v>
      </c>
      <c r="E25" s="485">
        <v>3.54</v>
      </c>
    </row>
    <row r="26" spans="1:5" ht="16.5" customHeight="1" x14ac:dyDescent="0.3">
      <c r="A26" s="483">
        <v>3</v>
      </c>
      <c r="B26" s="484">
        <v>68549907</v>
      </c>
      <c r="C26" s="484">
        <v>3163.88</v>
      </c>
      <c r="D26" s="485">
        <v>1.41</v>
      </c>
      <c r="E26" s="485">
        <v>3.54</v>
      </c>
    </row>
    <row r="27" spans="1:5" ht="16.5" customHeight="1" x14ac:dyDescent="0.3">
      <c r="A27" s="483">
        <v>4</v>
      </c>
      <c r="B27" s="484">
        <v>68656799</v>
      </c>
      <c r="C27" s="484">
        <v>3167.66</v>
      </c>
      <c r="D27" s="485">
        <v>1.41</v>
      </c>
      <c r="E27" s="485">
        <v>3.54</v>
      </c>
    </row>
    <row r="28" spans="1:5" ht="16.5" customHeight="1" x14ac:dyDescent="0.3">
      <c r="A28" s="483">
        <v>5</v>
      </c>
      <c r="B28" s="484">
        <v>68826120</v>
      </c>
      <c r="C28" s="484">
        <v>3149.45</v>
      </c>
      <c r="D28" s="485">
        <v>1.4</v>
      </c>
      <c r="E28" s="485">
        <v>3.54</v>
      </c>
    </row>
    <row r="29" spans="1:5" ht="16.5" customHeight="1" x14ac:dyDescent="0.3">
      <c r="A29" s="483">
        <v>6</v>
      </c>
      <c r="B29" s="487">
        <v>68868196</v>
      </c>
      <c r="C29" s="487">
        <v>3174.87</v>
      </c>
      <c r="D29" s="488">
        <v>1.41</v>
      </c>
      <c r="E29" s="488">
        <v>3.54</v>
      </c>
    </row>
    <row r="30" spans="1:5" ht="16.5" customHeight="1" x14ac:dyDescent="0.3">
      <c r="A30" s="489" t="s">
        <v>18</v>
      </c>
      <c r="B30" s="490">
        <f>AVERAGE(B24:B29)</f>
        <v>68734992</v>
      </c>
      <c r="C30" s="491">
        <f>AVERAGE(C24:C29)</f>
        <v>3165.1583333333333</v>
      </c>
      <c r="D30" s="492">
        <f>AVERAGE(D24:D29)</f>
        <v>1.4183333333333332</v>
      </c>
      <c r="E30" s="492">
        <f>AVERAGE(E24:E29)</f>
        <v>3.5399999999999996</v>
      </c>
    </row>
    <row r="31" spans="1:5" ht="16.5" customHeight="1" x14ac:dyDescent="0.3">
      <c r="A31" s="493" t="s">
        <v>19</v>
      </c>
      <c r="B31" s="494">
        <f>(STDEV(B24:B29)/B30)</f>
        <v>1.9019918325270627E-3</v>
      </c>
      <c r="C31" s="495"/>
      <c r="D31" s="495"/>
      <c r="E31" s="496"/>
    </row>
    <row r="32" spans="1:5" s="470" customFormat="1" ht="16.5" customHeight="1" x14ac:dyDescent="0.3">
      <c r="A32" s="497" t="s">
        <v>20</v>
      </c>
      <c r="B32" s="498">
        <f>COUNT(B24:B29)</f>
        <v>6</v>
      </c>
      <c r="C32" s="499"/>
      <c r="D32" s="500"/>
      <c r="E32" s="501"/>
    </row>
    <row r="33" spans="1:5" s="470" customFormat="1" ht="15.75" customHeight="1" x14ac:dyDescent="0.25">
      <c r="A33" s="477"/>
      <c r="B33" s="477"/>
      <c r="C33" s="477"/>
      <c r="D33" s="477"/>
      <c r="E33" s="477"/>
    </row>
    <row r="34" spans="1:5" s="470" customFormat="1" ht="16.5" customHeight="1" x14ac:dyDescent="0.3">
      <c r="A34" s="478" t="s">
        <v>21</v>
      </c>
      <c r="B34" s="502" t="s">
        <v>156</v>
      </c>
      <c r="C34" s="503"/>
      <c r="D34" s="503"/>
      <c r="E34" s="503"/>
    </row>
    <row r="35" spans="1:5" ht="16.5" customHeight="1" x14ac:dyDescent="0.3">
      <c r="A35" s="478"/>
      <c r="B35" s="502" t="s">
        <v>157</v>
      </c>
      <c r="C35" s="503"/>
      <c r="D35" s="503"/>
      <c r="E35" s="503"/>
    </row>
    <row r="36" spans="1:5" ht="16.5" customHeight="1" x14ac:dyDescent="0.3">
      <c r="A36" s="478"/>
      <c r="B36" s="502" t="s">
        <v>158</v>
      </c>
      <c r="C36" s="503"/>
      <c r="D36" s="503"/>
      <c r="E36" s="503"/>
    </row>
    <row r="37" spans="1:5" ht="15.75" customHeight="1" x14ac:dyDescent="0.25">
      <c r="A37" s="477"/>
      <c r="B37" s="477"/>
      <c r="C37" s="477"/>
      <c r="D37" s="477"/>
      <c r="E37" s="477"/>
    </row>
    <row r="38" spans="1:5" ht="16.5" customHeight="1" x14ac:dyDescent="0.3">
      <c r="A38" s="473" t="s">
        <v>1</v>
      </c>
      <c r="B38" s="474" t="s">
        <v>22</v>
      </c>
    </row>
    <row r="39" spans="1:5" ht="16.5" customHeight="1" x14ac:dyDescent="0.3">
      <c r="A39" s="478" t="s">
        <v>4</v>
      </c>
      <c r="B39" s="470" t="s">
        <v>155</v>
      </c>
      <c r="C39" s="477"/>
      <c r="D39" s="477"/>
      <c r="E39" s="477"/>
    </row>
    <row r="40" spans="1:5" ht="16.5" customHeight="1" x14ac:dyDescent="0.3">
      <c r="A40" s="478" t="s">
        <v>6</v>
      </c>
      <c r="B40" s="479">
        <v>99.5</v>
      </c>
      <c r="C40" s="477"/>
      <c r="D40" s="477"/>
      <c r="E40" s="477"/>
    </row>
    <row r="41" spans="1:5" ht="16.5" customHeight="1" x14ac:dyDescent="0.3">
      <c r="A41" s="475" t="s">
        <v>8</v>
      </c>
      <c r="B41" s="479">
        <v>24.61</v>
      </c>
      <c r="C41" s="477"/>
      <c r="D41" s="477"/>
      <c r="E41" s="477"/>
    </row>
    <row r="42" spans="1:5" ht="16.5" customHeight="1" x14ac:dyDescent="0.3">
      <c r="A42" s="475" t="s">
        <v>10</v>
      </c>
      <c r="B42" s="480">
        <f>B41/100*4/50</f>
        <v>1.9687999999999997E-2</v>
      </c>
      <c r="C42" s="477"/>
      <c r="D42" s="477"/>
      <c r="E42" s="477"/>
    </row>
    <row r="43" spans="1:5" ht="15.75" customHeight="1" x14ac:dyDescent="0.25">
      <c r="A43" s="477"/>
      <c r="B43" s="477"/>
      <c r="C43" s="477"/>
      <c r="D43" s="477"/>
      <c r="E43" s="477"/>
    </row>
    <row r="44" spans="1:5" ht="16.5" customHeight="1" x14ac:dyDescent="0.3">
      <c r="A44" s="481" t="s">
        <v>13</v>
      </c>
      <c r="B44" s="482" t="s">
        <v>14</v>
      </c>
      <c r="C44" s="481" t="s">
        <v>15</v>
      </c>
      <c r="D44" s="481" t="s">
        <v>16</v>
      </c>
      <c r="E44" s="481" t="s">
        <v>17</v>
      </c>
    </row>
    <row r="45" spans="1:5" ht="16.5" customHeight="1" x14ac:dyDescent="0.3">
      <c r="A45" s="483">
        <v>1</v>
      </c>
      <c r="B45" s="484">
        <v>3888276</v>
      </c>
      <c r="C45" s="484">
        <v>7666.94</v>
      </c>
      <c r="D45" s="485">
        <v>1.58</v>
      </c>
      <c r="E45" s="486">
        <v>3.81</v>
      </c>
    </row>
    <row r="46" spans="1:5" ht="16.5" customHeight="1" x14ac:dyDescent="0.3">
      <c r="A46" s="483">
        <v>2</v>
      </c>
      <c r="B46" s="484">
        <v>3874640</v>
      </c>
      <c r="C46" s="484">
        <v>7692.29</v>
      </c>
      <c r="D46" s="485">
        <v>1.66</v>
      </c>
      <c r="E46" s="485">
        <v>3.81</v>
      </c>
    </row>
    <row r="47" spans="1:5" ht="16.5" customHeight="1" x14ac:dyDescent="0.3">
      <c r="A47" s="483">
        <v>3</v>
      </c>
      <c r="B47" s="484">
        <v>3887622</v>
      </c>
      <c r="C47" s="484">
        <v>7708.27</v>
      </c>
      <c r="D47" s="485">
        <v>1.61</v>
      </c>
      <c r="E47" s="485">
        <v>3.81</v>
      </c>
    </row>
    <row r="48" spans="1:5" ht="16.5" customHeight="1" x14ac:dyDescent="0.3">
      <c r="A48" s="483">
        <v>4</v>
      </c>
      <c r="B48" s="484">
        <v>3870717</v>
      </c>
      <c r="C48" s="484">
        <v>7733.5</v>
      </c>
      <c r="D48" s="485">
        <v>1.63</v>
      </c>
      <c r="E48" s="485">
        <v>3.81</v>
      </c>
    </row>
    <row r="49" spans="1:7" ht="16.5" customHeight="1" x14ac:dyDescent="0.3">
      <c r="A49" s="483">
        <v>5</v>
      </c>
      <c r="B49" s="484">
        <v>3884280</v>
      </c>
      <c r="C49" s="484">
        <v>7746.5</v>
      </c>
      <c r="D49" s="485">
        <v>1.62</v>
      </c>
      <c r="E49" s="485">
        <v>3.81</v>
      </c>
    </row>
    <row r="50" spans="1:7" ht="16.5" customHeight="1" x14ac:dyDescent="0.3">
      <c r="A50" s="483">
        <v>6</v>
      </c>
      <c r="B50" s="487">
        <v>3864863</v>
      </c>
      <c r="C50" s="487">
        <v>7725.87</v>
      </c>
      <c r="D50" s="488">
        <v>1.65</v>
      </c>
      <c r="E50" s="488">
        <v>3.81</v>
      </c>
    </row>
    <row r="51" spans="1:7" ht="16.5" customHeight="1" x14ac:dyDescent="0.3">
      <c r="A51" s="489" t="s">
        <v>18</v>
      </c>
      <c r="B51" s="490">
        <f>AVERAGE(B45:B50)</f>
        <v>3878399.6666666665</v>
      </c>
      <c r="C51" s="491">
        <f>AVERAGE(C45:C50)</f>
        <v>7712.2283333333335</v>
      </c>
      <c r="D51" s="492">
        <f>AVERAGE(D45:D50)</f>
        <v>1.6250000000000002</v>
      </c>
      <c r="E51" s="492">
        <f>AVERAGE(E45:E50)</f>
        <v>3.81</v>
      </c>
    </row>
    <row r="52" spans="1:7" ht="16.5" customHeight="1" x14ac:dyDescent="0.3">
      <c r="A52" s="493" t="s">
        <v>19</v>
      </c>
      <c r="B52" s="494">
        <f>(STDEV(B45:B50)/B51)</f>
        <v>2.5093152389949556E-3</v>
      </c>
      <c r="C52" s="495"/>
      <c r="D52" s="495"/>
      <c r="E52" s="496"/>
    </row>
    <row r="53" spans="1:7" s="470" customFormat="1" ht="16.5" customHeight="1" x14ac:dyDescent="0.3">
      <c r="A53" s="497" t="s">
        <v>20</v>
      </c>
      <c r="B53" s="498">
        <f>COUNT(B45:B50)</f>
        <v>6</v>
      </c>
      <c r="C53" s="499"/>
      <c r="D53" s="500"/>
      <c r="E53" s="501"/>
    </row>
    <row r="54" spans="1:7" s="470" customFormat="1" ht="15.75" customHeight="1" x14ac:dyDescent="0.25">
      <c r="A54" s="477"/>
      <c r="B54" s="477"/>
      <c r="C54" s="477"/>
      <c r="D54" s="477"/>
      <c r="E54" s="477"/>
    </row>
    <row r="55" spans="1:7" s="470" customFormat="1" ht="16.5" customHeight="1" x14ac:dyDescent="0.3">
      <c r="A55" s="478" t="s">
        <v>21</v>
      </c>
      <c r="B55" s="502" t="s">
        <v>156</v>
      </c>
      <c r="C55" s="503"/>
      <c r="D55" s="503"/>
      <c r="E55" s="503"/>
    </row>
    <row r="56" spans="1:7" ht="16.5" customHeight="1" x14ac:dyDescent="0.3">
      <c r="A56" s="478"/>
      <c r="B56" s="502" t="s">
        <v>157</v>
      </c>
      <c r="C56" s="503"/>
      <c r="D56" s="503"/>
      <c r="E56" s="503"/>
    </row>
    <row r="57" spans="1:7" ht="16.5" customHeight="1" x14ac:dyDescent="0.3">
      <c r="A57" s="478"/>
      <c r="B57" s="502" t="s">
        <v>158</v>
      </c>
      <c r="C57" s="503"/>
      <c r="D57" s="503"/>
      <c r="E57" s="503"/>
    </row>
    <row r="58" spans="1:7" ht="14.25" customHeight="1" thickBot="1" x14ac:dyDescent="0.3">
      <c r="A58" s="504"/>
      <c r="B58" s="505"/>
      <c r="D58" s="506"/>
      <c r="F58" s="507"/>
      <c r="G58" s="507"/>
    </row>
    <row r="59" spans="1:7" ht="15" customHeight="1" x14ac:dyDescent="0.3">
      <c r="B59" s="508" t="s">
        <v>23</v>
      </c>
      <c r="C59" s="508"/>
      <c r="E59" s="509" t="s">
        <v>24</v>
      </c>
      <c r="F59" s="510"/>
      <c r="G59" s="509" t="s">
        <v>25</v>
      </c>
    </row>
    <row r="60" spans="1:7" ht="15" customHeight="1" x14ac:dyDescent="0.3">
      <c r="A60" s="511" t="s">
        <v>26</v>
      </c>
      <c r="B60" s="512"/>
      <c r="C60" s="512"/>
      <c r="E60" s="512"/>
      <c r="G60" s="512"/>
    </row>
    <row r="61" spans="1:7" ht="15" customHeight="1" x14ac:dyDescent="0.3">
      <c r="A61" s="511" t="s">
        <v>27</v>
      </c>
      <c r="B61" s="513"/>
      <c r="C61" s="513"/>
      <c r="E61" s="513"/>
      <c r="G61" s="5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99" t="s">
        <v>28</v>
      </c>
      <c r="B11" s="400"/>
      <c r="C11" s="400"/>
      <c r="D11" s="400"/>
      <c r="E11" s="400"/>
      <c r="F11" s="401"/>
      <c r="G11" s="41"/>
    </row>
    <row r="12" spans="1:7" ht="16.5" customHeight="1" x14ac:dyDescent="0.3">
      <c r="A12" s="398" t="s">
        <v>29</v>
      </c>
      <c r="B12" s="398"/>
      <c r="C12" s="398"/>
      <c r="D12" s="398"/>
      <c r="E12" s="398"/>
      <c r="F12" s="398"/>
      <c r="G12" s="40"/>
    </row>
    <row r="14" spans="1:7" ht="16.5" customHeight="1" x14ac:dyDescent="0.3">
      <c r="A14" s="403" t="s">
        <v>30</v>
      </c>
      <c r="B14" s="403"/>
      <c r="C14" s="10" t="s">
        <v>5</v>
      </c>
    </row>
    <row r="15" spans="1:7" ht="16.5" customHeight="1" x14ac:dyDescent="0.3">
      <c r="A15" s="403" t="s">
        <v>31</v>
      </c>
      <c r="B15" s="403"/>
      <c r="C15" s="10" t="s">
        <v>7</v>
      </c>
    </row>
    <row r="16" spans="1:7" ht="16.5" customHeight="1" x14ac:dyDescent="0.3">
      <c r="A16" s="403" t="s">
        <v>32</v>
      </c>
      <c r="B16" s="403"/>
      <c r="C16" s="10" t="s">
        <v>9</v>
      </c>
    </row>
    <row r="17" spans="1:5" ht="16.5" customHeight="1" x14ac:dyDescent="0.3">
      <c r="A17" s="403" t="s">
        <v>33</v>
      </c>
      <c r="B17" s="403"/>
      <c r="C17" s="10" t="s">
        <v>11</v>
      </c>
    </row>
    <row r="18" spans="1:5" ht="16.5" customHeight="1" x14ac:dyDescent="0.3">
      <c r="A18" s="403" t="s">
        <v>34</v>
      </c>
      <c r="B18" s="403"/>
      <c r="C18" s="47" t="s">
        <v>12</v>
      </c>
    </row>
    <row r="19" spans="1:5" ht="16.5" customHeight="1" x14ac:dyDescent="0.3">
      <c r="A19" s="403" t="s">
        <v>35</v>
      </c>
      <c r="B19" s="40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98" t="s">
        <v>1</v>
      </c>
      <c r="B21" s="398"/>
      <c r="C21" s="9" t="s">
        <v>36</v>
      </c>
      <c r="D21" s="16"/>
    </row>
    <row r="22" spans="1:5" ht="15.75" customHeight="1" x14ac:dyDescent="0.3">
      <c r="A22" s="402"/>
      <c r="B22" s="402"/>
      <c r="C22" s="7"/>
      <c r="D22" s="402"/>
      <c r="E22" s="402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300.18</v>
      </c>
      <c r="D24" s="37">
        <f t="shared" ref="D24:D43" si="0">(C24-$C$46)/$C$46</f>
        <v>-1.2127987702319095E-3</v>
      </c>
      <c r="E24" s="3"/>
    </row>
    <row r="25" spans="1:5" ht="15.75" customHeight="1" x14ac:dyDescent="0.3">
      <c r="C25" s="45">
        <v>303.98</v>
      </c>
      <c r="D25" s="38">
        <f t="shared" si="0"/>
        <v>1.1430919547687771E-2</v>
      </c>
      <c r="E25" s="3"/>
    </row>
    <row r="26" spans="1:5" ht="15.75" customHeight="1" x14ac:dyDescent="0.3">
      <c r="C26" s="45">
        <v>301.82</v>
      </c>
      <c r="D26" s="38">
        <f t="shared" si="0"/>
        <v>4.2439638722386284E-3</v>
      </c>
      <c r="E26" s="3"/>
    </row>
    <row r="27" spans="1:5" ht="15.75" customHeight="1" x14ac:dyDescent="0.3">
      <c r="C27" s="45">
        <v>299.70999999999998</v>
      </c>
      <c r="D27" s="38">
        <f t="shared" si="0"/>
        <v>-2.7766270885010089E-3</v>
      </c>
      <c r="E27" s="3"/>
    </row>
    <row r="28" spans="1:5" ht="15.75" customHeight="1" x14ac:dyDescent="0.3">
      <c r="C28" s="45">
        <v>301.23</v>
      </c>
      <c r="D28" s="38">
        <f t="shared" si="0"/>
        <v>2.2808602386669772E-3</v>
      </c>
      <c r="E28" s="3"/>
    </row>
    <row r="29" spans="1:5" ht="15.75" customHeight="1" x14ac:dyDescent="0.3">
      <c r="C29" s="45">
        <v>300.86</v>
      </c>
      <c r="D29" s="38">
        <f t="shared" si="0"/>
        <v>1.0497613498168916E-3</v>
      </c>
      <c r="E29" s="3"/>
    </row>
    <row r="30" spans="1:5" ht="15.75" customHeight="1" x14ac:dyDescent="0.3">
      <c r="C30" s="45">
        <v>301.24</v>
      </c>
      <c r="D30" s="38">
        <f t="shared" si="0"/>
        <v>2.3141331816088407E-3</v>
      </c>
      <c r="E30" s="3"/>
    </row>
    <row r="31" spans="1:5" ht="15.75" customHeight="1" x14ac:dyDescent="0.3">
      <c r="C31" s="45">
        <v>299.48</v>
      </c>
      <c r="D31" s="38">
        <f t="shared" si="0"/>
        <v>-3.5419047761644376E-3</v>
      </c>
      <c r="E31" s="3"/>
    </row>
    <row r="32" spans="1:5" ht="15.75" customHeight="1" x14ac:dyDescent="0.3">
      <c r="C32" s="45">
        <v>302.48</v>
      </c>
      <c r="D32" s="38">
        <f t="shared" si="0"/>
        <v>6.4399781064037025E-3</v>
      </c>
      <c r="E32" s="3"/>
    </row>
    <row r="33" spans="1:7" ht="15.75" customHeight="1" x14ac:dyDescent="0.3">
      <c r="C33" s="45">
        <v>295.26</v>
      </c>
      <c r="D33" s="38">
        <f t="shared" si="0"/>
        <v>-1.7583086697643711E-2</v>
      </c>
      <c r="E33" s="3"/>
    </row>
    <row r="34" spans="1:7" ht="15.75" customHeight="1" x14ac:dyDescent="0.3">
      <c r="C34" s="45">
        <v>300</v>
      </c>
      <c r="D34" s="38">
        <f t="shared" si="0"/>
        <v>-1.8117117431860205E-3</v>
      </c>
      <c r="E34" s="3"/>
    </row>
    <row r="35" spans="1:7" ht="15.75" customHeight="1" x14ac:dyDescent="0.3">
      <c r="C35" s="45">
        <v>302.66000000000003</v>
      </c>
      <c r="D35" s="38">
        <f t="shared" si="0"/>
        <v>7.0388910793578131E-3</v>
      </c>
      <c r="E35" s="3"/>
    </row>
    <row r="36" spans="1:7" ht="15.75" customHeight="1" x14ac:dyDescent="0.3">
      <c r="C36" s="45">
        <v>297.5</v>
      </c>
      <c r="D36" s="38">
        <f t="shared" si="0"/>
        <v>-1.012994747865947E-2</v>
      </c>
      <c r="E36" s="3"/>
    </row>
    <row r="37" spans="1:7" ht="15.75" customHeight="1" x14ac:dyDescent="0.3">
      <c r="C37" s="45">
        <v>303.12</v>
      </c>
      <c r="D37" s="38">
        <f t="shared" si="0"/>
        <v>8.5694464546848606E-3</v>
      </c>
      <c r="E37" s="3"/>
    </row>
    <row r="38" spans="1:7" ht="15.75" customHeight="1" x14ac:dyDescent="0.3">
      <c r="C38" s="45">
        <v>298.86</v>
      </c>
      <c r="D38" s="38">
        <f t="shared" si="0"/>
        <v>-5.6048272385618679E-3</v>
      </c>
      <c r="E38" s="3"/>
    </row>
    <row r="39" spans="1:7" ht="15.75" customHeight="1" x14ac:dyDescent="0.3">
      <c r="C39" s="45">
        <v>299.04000000000002</v>
      </c>
      <c r="D39" s="38">
        <f t="shared" si="0"/>
        <v>-5.0059142656077573E-3</v>
      </c>
      <c r="E39" s="3"/>
    </row>
    <row r="40" spans="1:7" ht="15.75" customHeight="1" x14ac:dyDescent="0.3">
      <c r="C40" s="45">
        <v>299.89999999999998</v>
      </c>
      <c r="D40" s="38">
        <f t="shared" si="0"/>
        <v>-2.144441172605034E-3</v>
      </c>
      <c r="E40" s="3"/>
    </row>
    <row r="41" spans="1:7" ht="15.75" customHeight="1" x14ac:dyDescent="0.3">
      <c r="C41" s="45">
        <v>302.11</v>
      </c>
      <c r="D41" s="38">
        <f t="shared" si="0"/>
        <v>5.2088792175536162E-3</v>
      </c>
      <c r="E41" s="3"/>
    </row>
    <row r="42" spans="1:7" ht="15.75" customHeight="1" x14ac:dyDescent="0.3">
      <c r="C42" s="45">
        <v>302.02999999999997</v>
      </c>
      <c r="D42" s="38">
        <f t="shared" si="0"/>
        <v>4.9426956740183303E-3</v>
      </c>
      <c r="E42" s="3"/>
    </row>
    <row r="43" spans="1:7" ht="16.5" customHeight="1" x14ac:dyDescent="0.3">
      <c r="C43" s="46">
        <v>299.43</v>
      </c>
      <c r="D43" s="39">
        <f t="shared" si="0"/>
        <v>-3.7082694908739445E-3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6010.8899999999994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300.54449999999997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396">
        <f>C46</f>
        <v>300.54449999999997</v>
      </c>
      <c r="C49" s="43">
        <f>-IF(C46&lt;=80,10%,IF(C46&lt;250,7.5%,5%))</f>
        <v>-0.05</v>
      </c>
      <c r="D49" s="31">
        <f>IF(C46&lt;=80,C46*0.9,IF(C46&lt;250,C46*0.925,C46*0.95))</f>
        <v>285.51727499999998</v>
      </c>
    </row>
    <row r="50" spans="1:6" ht="17.25" customHeight="1" x14ac:dyDescent="0.3">
      <c r="B50" s="397"/>
      <c r="C50" s="44">
        <f>IF(C46&lt;=80, 10%, IF(C46&lt;250, 7.5%, 5%))</f>
        <v>0.05</v>
      </c>
      <c r="D50" s="31">
        <f>IF(C46&lt;=80, C46*1.1, IF(C46&lt;250, C46*1.075, C46*1.05))</f>
        <v>315.57172499999996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zoomScale="60" zoomScaleNormal="70" workbookViewId="0">
      <selection sqref="A1:G8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04" t="s">
        <v>42</v>
      </c>
      <c r="B1" s="404"/>
      <c r="C1" s="404"/>
      <c r="D1" s="404"/>
      <c r="E1" s="404"/>
      <c r="F1" s="404"/>
      <c r="G1" s="404"/>
    </row>
    <row r="2" spans="1:7" x14ac:dyDescent="0.2">
      <c r="A2" s="404"/>
      <c r="B2" s="404"/>
      <c r="C2" s="404"/>
      <c r="D2" s="404"/>
      <c r="E2" s="404"/>
      <c r="F2" s="404"/>
      <c r="G2" s="404"/>
    </row>
    <row r="3" spans="1:7" x14ac:dyDescent="0.2">
      <c r="A3" s="404"/>
      <c r="B3" s="404"/>
      <c r="C3" s="404"/>
      <c r="D3" s="404"/>
      <c r="E3" s="404"/>
      <c r="F3" s="404"/>
      <c r="G3" s="404"/>
    </row>
    <row r="4" spans="1:7" x14ac:dyDescent="0.2">
      <c r="A4" s="404"/>
      <c r="B4" s="404"/>
      <c r="C4" s="404"/>
      <c r="D4" s="404"/>
      <c r="E4" s="404"/>
      <c r="F4" s="404"/>
      <c r="G4" s="404"/>
    </row>
    <row r="5" spans="1:7" x14ac:dyDescent="0.2">
      <c r="A5" s="404"/>
      <c r="B5" s="404"/>
      <c r="C5" s="404"/>
      <c r="D5" s="404"/>
      <c r="E5" s="404"/>
      <c r="F5" s="404"/>
      <c r="G5" s="404"/>
    </row>
    <row r="6" spans="1:7" x14ac:dyDescent="0.2">
      <c r="A6" s="404"/>
      <c r="B6" s="404"/>
      <c r="C6" s="404"/>
      <c r="D6" s="404"/>
      <c r="E6" s="404"/>
      <c r="F6" s="404"/>
      <c r="G6" s="404"/>
    </row>
    <row r="7" spans="1:7" x14ac:dyDescent="0.2">
      <c r="A7" s="404"/>
      <c r="B7" s="404"/>
      <c r="C7" s="404"/>
      <c r="D7" s="404"/>
      <c r="E7" s="404"/>
      <c r="F7" s="404"/>
      <c r="G7" s="404"/>
    </row>
    <row r="8" spans="1:7" x14ac:dyDescent="0.2">
      <c r="A8" s="405" t="s">
        <v>43</v>
      </c>
      <c r="B8" s="405"/>
      <c r="C8" s="405"/>
      <c r="D8" s="405"/>
      <c r="E8" s="405"/>
      <c r="F8" s="405"/>
      <c r="G8" s="405"/>
    </row>
    <row r="9" spans="1:7" x14ac:dyDescent="0.2">
      <c r="A9" s="405"/>
      <c r="B9" s="405"/>
      <c r="C9" s="405"/>
      <c r="D9" s="405"/>
      <c r="E9" s="405"/>
      <c r="F9" s="405"/>
      <c r="G9" s="405"/>
    </row>
    <row r="10" spans="1:7" x14ac:dyDescent="0.2">
      <c r="A10" s="405"/>
      <c r="B10" s="405"/>
      <c r="C10" s="405"/>
      <c r="D10" s="405"/>
      <c r="E10" s="405"/>
      <c r="F10" s="405"/>
      <c r="G10" s="405"/>
    </row>
    <row r="11" spans="1:7" x14ac:dyDescent="0.2">
      <c r="A11" s="405"/>
      <c r="B11" s="405"/>
      <c r="C11" s="405"/>
      <c r="D11" s="405"/>
      <c r="E11" s="405"/>
      <c r="F11" s="405"/>
      <c r="G11" s="405"/>
    </row>
    <row r="12" spans="1:7" x14ac:dyDescent="0.2">
      <c r="A12" s="405"/>
      <c r="B12" s="405"/>
      <c r="C12" s="405"/>
      <c r="D12" s="405"/>
      <c r="E12" s="405"/>
      <c r="F12" s="405"/>
      <c r="G12" s="405"/>
    </row>
    <row r="13" spans="1:7" x14ac:dyDescent="0.2">
      <c r="A13" s="405"/>
      <c r="B13" s="405"/>
      <c r="C13" s="405"/>
      <c r="D13" s="405"/>
      <c r="E13" s="405"/>
      <c r="F13" s="405"/>
      <c r="G13" s="405"/>
    </row>
    <row r="14" spans="1:7" x14ac:dyDescent="0.2">
      <c r="A14" s="405"/>
      <c r="B14" s="405"/>
      <c r="C14" s="405"/>
      <c r="D14" s="405"/>
      <c r="E14" s="405"/>
      <c r="F14" s="405"/>
      <c r="G14" s="405"/>
    </row>
    <row r="15" spans="1:7" ht="19.5" customHeight="1" x14ac:dyDescent="0.3">
      <c r="A15" s="48"/>
      <c r="B15" s="48"/>
      <c r="C15" s="48"/>
      <c r="D15" s="48"/>
      <c r="E15" s="48"/>
      <c r="F15" s="48"/>
      <c r="G15" s="48"/>
    </row>
    <row r="16" spans="1:7" ht="19.5" customHeight="1" x14ac:dyDescent="0.3">
      <c r="A16" s="427" t="s">
        <v>28</v>
      </c>
      <c r="B16" s="428"/>
      <c r="C16" s="428"/>
      <c r="D16" s="428"/>
      <c r="E16" s="428"/>
      <c r="F16" s="428"/>
      <c r="G16" s="428"/>
    </row>
    <row r="17" spans="1:7" ht="18.75" customHeight="1" x14ac:dyDescent="0.3">
      <c r="A17" s="49" t="s">
        <v>44</v>
      </c>
      <c r="B17" s="49"/>
      <c r="C17" s="48"/>
      <c r="D17" s="48"/>
      <c r="E17" s="48"/>
      <c r="F17" s="48"/>
      <c r="G17" s="48"/>
    </row>
    <row r="18" spans="1:7" ht="26.25" customHeight="1" x14ac:dyDescent="0.4">
      <c r="A18" s="50" t="s">
        <v>30</v>
      </c>
      <c r="B18" s="420" t="s">
        <v>5</v>
      </c>
      <c r="C18" s="420"/>
      <c r="D18" s="51"/>
      <c r="E18" s="51"/>
      <c r="F18" s="48"/>
      <c r="G18" s="48"/>
    </row>
    <row r="19" spans="1:7" ht="26.25" customHeight="1" x14ac:dyDescent="0.4">
      <c r="A19" s="50" t="s">
        <v>31</v>
      </c>
      <c r="B19" s="225" t="s">
        <v>7</v>
      </c>
      <c r="C19" s="48">
        <v>36</v>
      </c>
      <c r="E19" s="48"/>
      <c r="F19" s="48"/>
      <c r="G19" s="48"/>
    </row>
    <row r="20" spans="1:7" ht="26.25" customHeight="1" x14ac:dyDescent="0.4">
      <c r="A20" s="50" t="s">
        <v>32</v>
      </c>
      <c r="B20" s="421" t="s">
        <v>9</v>
      </c>
      <c r="C20" s="421"/>
      <c r="D20" s="48"/>
      <c r="E20" s="48"/>
      <c r="F20" s="48"/>
      <c r="G20" s="48"/>
    </row>
    <row r="21" spans="1:7" ht="26.25" customHeight="1" x14ac:dyDescent="0.4">
      <c r="A21" s="50" t="s">
        <v>33</v>
      </c>
      <c r="B21" s="52" t="s">
        <v>11</v>
      </c>
      <c r="C21" s="52"/>
      <c r="D21" s="53" t="s">
        <v>125</v>
      </c>
      <c r="E21" s="53"/>
      <c r="F21" s="53"/>
      <c r="G21" s="53"/>
    </row>
    <row r="22" spans="1:7" ht="26.25" customHeight="1" x14ac:dyDescent="0.4">
      <c r="A22" s="50" t="s">
        <v>34</v>
      </c>
      <c r="B22" s="54" t="s">
        <v>123</v>
      </c>
      <c r="C22" s="55"/>
      <c r="D22" s="48"/>
      <c r="E22" s="48"/>
      <c r="F22" s="48"/>
      <c r="G22" s="48"/>
    </row>
    <row r="23" spans="1:7" ht="26.25" customHeight="1" x14ac:dyDescent="0.4">
      <c r="A23" s="50" t="s">
        <v>35</v>
      </c>
      <c r="B23" s="54" t="s">
        <v>124</v>
      </c>
      <c r="C23" s="55"/>
      <c r="D23" s="48"/>
      <c r="E23" s="48"/>
      <c r="F23" s="48"/>
      <c r="G23" s="48"/>
    </row>
    <row r="24" spans="1:7" ht="18.75" customHeight="1" x14ac:dyDescent="0.3">
      <c r="A24" s="50"/>
      <c r="B24" s="56"/>
      <c r="C24" s="48"/>
      <c r="D24" s="48"/>
      <c r="E24" s="48"/>
      <c r="F24" s="48"/>
      <c r="G24" s="48"/>
    </row>
    <row r="25" spans="1:7" ht="18.75" customHeight="1" x14ac:dyDescent="0.3">
      <c r="A25" s="57" t="s">
        <v>1</v>
      </c>
      <c r="B25" s="56"/>
      <c r="C25" s="48"/>
      <c r="D25" s="48"/>
      <c r="E25" s="48"/>
      <c r="F25" s="48"/>
      <c r="G25" s="48"/>
    </row>
    <row r="26" spans="1:7" ht="26.25" customHeight="1" x14ac:dyDescent="0.4">
      <c r="A26" s="58" t="s">
        <v>4</v>
      </c>
      <c r="B26" s="420" t="s">
        <v>121</v>
      </c>
      <c r="C26" s="420"/>
      <c r="D26" s="48"/>
      <c r="E26" s="48"/>
      <c r="F26" s="48"/>
      <c r="G26" s="48"/>
    </row>
    <row r="27" spans="1:7" ht="26.25" customHeight="1" x14ac:dyDescent="0.4">
      <c r="A27" s="59" t="s">
        <v>45</v>
      </c>
      <c r="B27" s="421" t="s">
        <v>122</v>
      </c>
      <c r="C27" s="421"/>
      <c r="D27" s="48"/>
      <c r="E27" s="48"/>
      <c r="F27" s="48"/>
      <c r="G27" s="48"/>
    </row>
    <row r="28" spans="1:7" ht="27" customHeight="1" x14ac:dyDescent="0.4">
      <c r="A28" s="59" t="s">
        <v>6</v>
      </c>
      <c r="B28" s="60">
        <v>99.5</v>
      </c>
      <c r="C28" s="48"/>
      <c r="D28" s="48"/>
      <c r="E28" s="48"/>
      <c r="F28" s="48"/>
      <c r="G28" s="48"/>
    </row>
    <row r="29" spans="1:7" ht="27" customHeight="1" x14ac:dyDescent="0.4">
      <c r="A29" s="59" t="s">
        <v>46</v>
      </c>
      <c r="B29" s="61">
        <v>0</v>
      </c>
      <c r="C29" s="407" t="s">
        <v>47</v>
      </c>
      <c r="D29" s="408"/>
      <c r="E29" s="408"/>
      <c r="F29" s="408"/>
      <c r="G29" s="425"/>
    </row>
    <row r="30" spans="1:7" ht="19.5" customHeight="1" x14ac:dyDescent="0.3">
      <c r="A30" s="59" t="s">
        <v>48</v>
      </c>
      <c r="B30" s="63">
        <f>B28-B29</f>
        <v>99.5</v>
      </c>
      <c r="C30" s="64"/>
      <c r="D30" s="64"/>
      <c r="E30" s="64"/>
      <c r="F30" s="64"/>
      <c r="G30" s="64"/>
    </row>
    <row r="31" spans="1:7" ht="27" customHeight="1" x14ac:dyDescent="0.4">
      <c r="A31" s="59" t="s">
        <v>49</v>
      </c>
      <c r="B31" s="65">
        <v>1</v>
      </c>
      <c r="C31" s="407" t="s">
        <v>50</v>
      </c>
      <c r="D31" s="408"/>
      <c r="E31" s="408"/>
      <c r="F31" s="408"/>
      <c r="G31" s="425"/>
    </row>
    <row r="32" spans="1:7" ht="27" customHeight="1" x14ac:dyDescent="0.4">
      <c r="A32" s="59" t="s">
        <v>51</v>
      </c>
      <c r="B32" s="65">
        <v>1</v>
      </c>
      <c r="C32" s="407" t="s">
        <v>52</v>
      </c>
      <c r="D32" s="408"/>
      <c r="E32" s="408"/>
      <c r="F32" s="408"/>
      <c r="G32" s="425"/>
    </row>
    <row r="33" spans="1:7" ht="18.75" customHeight="1" x14ac:dyDescent="0.3">
      <c r="A33" s="59"/>
      <c r="B33" s="66"/>
      <c r="C33" s="67"/>
      <c r="D33" s="67"/>
      <c r="E33" s="67"/>
      <c r="F33" s="67"/>
      <c r="G33" s="67"/>
    </row>
    <row r="34" spans="1:7" ht="18.75" customHeight="1" x14ac:dyDescent="0.3">
      <c r="A34" s="59" t="s">
        <v>53</v>
      </c>
      <c r="B34" s="68">
        <f>B31/B32</f>
        <v>1</v>
      </c>
      <c r="C34" s="48" t="s">
        <v>54</v>
      </c>
      <c r="D34" s="48"/>
      <c r="E34" s="48"/>
      <c r="F34" s="48"/>
      <c r="G34" s="48"/>
    </row>
    <row r="35" spans="1:7" ht="19.5" customHeight="1" x14ac:dyDescent="0.3">
      <c r="A35" s="59"/>
      <c r="B35" s="63"/>
      <c r="C35" s="62"/>
      <c r="D35" s="62"/>
      <c r="E35" s="62"/>
      <c r="F35" s="62"/>
      <c r="G35" s="48"/>
    </row>
    <row r="36" spans="1:7" ht="27" customHeight="1" x14ac:dyDescent="0.4">
      <c r="A36" s="69" t="s">
        <v>55</v>
      </c>
      <c r="B36" s="70">
        <v>50</v>
      </c>
      <c r="C36" s="48"/>
      <c r="D36" s="409" t="s">
        <v>56</v>
      </c>
      <c r="E36" s="426"/>
      <c r="F36" s="409" t="s">
        <v>57</v>
      </c>
      <c r="G36" s="410"/>
    </row>
    <row r="37" spans="1:7" ht="26.25" customHeight="1" x14ac:dyDescent="0.4">
      <c r="A37" s="71" t="s">
        <v>58</v>
      </c>
      <c r="B37" s="72">
        <v>1</v>
      </c>
      <c r="C37" s="73" t="s">
        <v>59</v>
      </c>
      <c r="D37" s="74" t="s">
        <v>60</v>
      </c>
      <c r="E37" s="75" t="s">
        <v>61</v>
      </c>
      <c r="F37" s="74" t="s">
        <v>60</v>
      </c>
      <c r="G37" s="76" t="s">
        <v>61</v>
      </c>
    </row>
    <row r="38" spans="1:7" ht="26.25" customHeight="1" x14ac:dyDescent="0.4">
      <c r="A38" s="71" t="s">
        <v>62</v>
      </c>
      <c r="B38" s="72">
        <v>1</v>
      </c>
      <c r="C38" s="77">
        <v>1</v>
      </c>
      <c r="D38" s="78">
        <v>69730883</v>
      </c>
      <c r="E38" s="79">
        <f>IF(ISBLANK(D38),"-",$D$48/$D$45*D38)</f>
        <v>64110956.612680338</v>
      </c>
      <c r="F38" s="78">
        <v>63600538</v>
      </c>
      <c r="G38" s="80">
        <f>IF(ISBLANK(F38),"-",$D$48/$F$45*F38)</f>
        <v>62475395.179931417</v>
      </c>
    </row>
    <row r="39" spans="1:7" ht="26.25" customHeight="1" x14ac:dyDescent="0.4">
      <c r="A39" s="71" t="s">
        <v>63</v>
      </c>
      <c r="B39" s="72">
        <v>1</v>
      </c>
      <c r="C39" s="81">
        <v>2</v>
      </c>
      <c r="D39" s="82">
        <v>69267502</v>
      </c>
      <c r="E39" s="83">
        <f>IF(ISBLANK(D39),"-",$D$48/$D$45*D39)</f>
        <v>63684921.577584907</v>
      </c>
      <c r="F39" s="82">
        <v>63800706</v>
      </c>
      <c r="G39" s="84">
        <f>IF(ISBLANK(F39),"-",$D$48/$F$45*F39)</f>
        <v>62672022.052842095</v>
      </c>
    </row>
    <row r="40" spans="1:7" ht="26.25" customHeight="1" x14ac:dyDescent="0.4">
      <c r="A40" s="71" t="s">
        <v>64</v>
      </c>
      <c r="B40" s="72">
        <v>1</v>
      </c>
      <c r="C40" s="81">
        <v>3</v>
      </c>
      <c r="D40" s="82">
        <v>69208659</v>
      </c>
      <c r="E40" s="83">
        <f>IF(ISBLANK(D40),"-",$D$48/$D$45*D40)</f>
        <v>63630821.000370644</v>
      </c>
      <c r="F40" s="82">
        <v>64386566</v>
      </c>
      <c r="G40" s="84">
        <f>IF(ISBLANK(F40),"-",$D$48/$F$45*F40)</f>
        <v>63247517.735286079</v>
      </c>
    </row>
    <row r="41" spans="1:7" ht="26.25" customHeight="1" x14ac:dyDescent="0.4">
      <c r="A41" s="71" t="s">
        <v>65</v>
      </c>
      <c r="B41" s="72">
        <v>1</v>
      </c>
      <c r="C41" s="85">
        <v>4</v>
      </c>
      <c r="D41" s="86"/>
      <c r="E41" s="87" t="str">
        <f>IF(ISBLANK(D41),"-",$D$48/$D$45*D41)</f>
        <v>-</v>
      </c>
      <c r="F41" s="86"/>
      <c r="G41" s="88" t="str">
        <f>IF(ISBLANK(F41),"-",$D$48/$F$45*F41)</f>
        <v>-</v>
      </c>
    </row>
    <row r="42" spans="1:7" ht="27" customHeight="1" x14ac:dyDescent="0.4">
      <c r="A42" s="71" t="s">
        <v>66</v>
      </c>
      <c r="B42" s="72">
        <v>1</v>
      </c>
      <c r="C42" s="89" t="s">
        <v>67</v>
      </c>
      <c r="D42" s="90">
        <f>AVERAGE(D38:D41)</f>
        <v>69402348</v>
      </c>
      <c r="E42" s="91">
        <f>AVERAGE(E38:E41)</f>
        <v>63808899.730211966</v>
      </c>
      <c r="F42" s="90">
        <f>AVERAGE(F38:F41)</f>
        <v>63929270</v>
      </c>
      <c r="G42" s="92">
        <f>AVERAGE(G38:G41)</f>
        <v>62798311.656019866</v>
      </c>
    </row>
    <row r="43" spans="1:7" ht="26.25" customHeight="1" x14ac:dyDescent="0.4">
      <c r="A43" s="71" t="s">
        <v>68</v>
      </c>
      <c r="B43" s="72">
        <v>1</v>
      </c>
      <c r="C43" s="93" t="s">
        <v>69</v>
      </c>
      <c r="D43" s="94">
        <v>17.489999999999998</v>
      </c>
      <c r="E43" s="95"/>
      <c r="F43" s="94">
        <v>16.37</v>
      </c>
      <c r="G43" s="48"/>
    </row>
    <row r="44" spans="1:7" ht="26.25" customHeight="1" x14ac:dyDescent="0.4">
      <c r="A44" s="71" t="s">
        <v>70</v>
      </c>
      <c r="B44" s="72">
        <v>1</v>
      </c>
      <c r="C44" s="96" t="s">
        <v>71</v>
      </c>
      <c r="D44" s="97">
        <f>D43*$B$34</f>
        <v>17.489999999999998</v>
      </c>
      <c r="E44" s="98"/>
      <c r="F44" s="97">
        <f>F43*$B$34</f>
        <v>16.37</v>
      </c>
      <c r="G44" s="48"/>
    </row>
    <row r="45" spans="1:7" ht="19.5" customHeight="1" x14ac:dyDescent="0.3">
      <c r="A45" s="71" t="s">
        <v>72</v>
      </c>
      <c r="B45" s="99">
        <f>(B44/B43)*(B42/B41)*(B40/B39)*(B38/B37)*B36</f>
        <v>50</v>
      </c>
      <c r="C45" s="96" t="s">
        <v>73</v>
      </c>
      <c r="D45" s="100">
        <f>D44*$B$30/100</f>
        <v>17.402549999999998</v>
      </c>
      <c r="E45" s="101"/>
      <c r="F45" s="100">
        <f>F44*$B$30/100</f>
        <v>16.288150000000002</v>
      </c>
      <c r="G45" s="48"/>
    </row>
    <row r="46" spans="1:7" ht="19.5" customHeight="1" x14ac:dyDescent="0.3">
      <c r="A46" s="411" t="s">
        <v>74</v>
      </c>
      <c r="B46" s="412"/>
      <c r="C46" s="96" t="s">
        <v>75</v>
      </c>
      <c r="D46" s="97">
        <f>D45/$B$45</f>
        <v>0.34805099999999994</v>
      </c>
      <c r="E46" s="101"/>
      <c r="F46" s="102">
        <f>F45/$B$45</f>
        <v>0.32576300000000002</v>
      </c>
      <c r="G46" s="48"/>
    </row>
    <row r="47" spans="1:7" ht="27" customHeight="1" x14ac:dyDescent="0.4">
      <c r="A47" s="413"/>
      <c r="B47" s="414"/>
      <c r="C47" s="103" t="s">
        <v>76</v>
      </c>
      <c r="D47" s="104">
        <v>0.32</v>
      </c>
      <c r="E47" s="48"/>
      <c r="F47" s="105"/>
      <c r="G47" s="48"/>
    </row>
    <row r="48" spans="1:7" ht="18.75" customHeight="1" x14ac:dyDescent="0.3">
      <c r="A48" s="48"/>
      <c r="B48" s="48"/>
      <c r="C48" s="106" t="s">
        <v>77</v>
      </c>
      <c r="D48" s="100">
        <f>D47*$B$45</f>
        <v>16</v>
      </c>
      <c r="E48" s="48"/>
      <c r="F48" s="105"/>
      <c r="G48" s="48"/>
    </row>
    <row r="49" spans="1:7" ht="19.5" customHeight="1" x14ac:dyDescent="0.3">
      <c r="A49" s="48"/>
      <c r="B49" s="48"/>
      <c r="C49" s="107" t="s">
        <v>78</v>
      </c>
      <c r="D49" s="108">
        <f>D48/B34</f>
        <v>16</v>
      </c>
      <c r="E49" s="48"/>
      <c r="F49" s="105"/>
      <c r="G49" s="48"/>
    </row>
    <row r="50" spans="1:7" ht="18.75" customHeight="1" x14ac:dyDescent="0.3">
      <c r="A50" s="48"/>
      <c r="B50" s="48"/>
      <c r="C50" s="69" t="s">
        <v>79</v>
      </c>
      <c r="D50" s="109">
        <f>AVERAGE(E38:E41,G38:G41)</f>
        <v>63303605.693115912</v>
      </c>
      <c r="E50" s="48"/>
      <c r="F50" s="110"/>
      <c r="G50" s="48"/>
    </row>
    <row r="51" spans="1:7" ht="18.75" customHeight="1" x14ac:dyDescent="0.3">
      <c r="A51" s="48"/>
      <c r="B51" s="48"/>
      <c r="C51" s="71" t="s">
        <v>80</v>
      </c>
      <c r="D51" s="111">
        <f>STDEV(E38:E41,G38:G41)/D50</f>
        <v>9.9714874672075082E-3</v>
      </c>
      <c r="E51" s="48"/>
      <c r="F51" s="110"/>
      <c r="G51" s="48"/>
    </row>
    <row r="52" spans="1:7" ht="19.5" customHeight="1" x14ac:dyDescent="0.3">
      <c r="A52" s="48"/>
      <c r="B52" s="48"/>
      <c r="C52" s="112" t="s">
        <v>20</v>
      </c>
      <c r="D52" s="113">
        <f>COUNT(E38:E41,G38:G41)</f>
        <v>6</v>
      </c>
      <c r="E52" s="48"/>
      <c r="F52" s="110"/>
      <c r="G52" s="48"/>
    </row>
    <row r="53" spans="1:7" ht="18.75" customHeight="1" x14ac:dyDescent="0.3">
      <c r="A53" s="48"/>
      <c r="B53" s="48"/>
      <c r="C53" s="48"/>
      <c r="D53" s="48"/>
      <c r="E53" s="48"/>
      <c r="F53" s="48"/>
      <c r="G53" s="48"/>
    </row>
    <row r="54" spans="1:7" ht="18.75" customHeight="1" x14ac:dyDescent="0.3">
      <c r="A54" s="49" t="s">
        <v>1</v>
      </c>
      <c r="B54" s="114" t="s">
        <v>81</v>
      </c>
      <c r="C54" s="48"/>
      <c r="D54" s="48"/>
      <c r="E54" s="48"/>
      <c r="F54" s="48"/>
      <c r="G54" s="48"/>
    </row>
    <row r="55" spans="1:7" ht="18.75" customHeight="1" x14ac:dyDescent="0.3">
      <c r="A55" s="48" t="s">
        <v>82</v>
      </c>
      <c r="B55" s="115" t="str">
        <f>B21</f>
        <v>Each tablets contains betahistine dihydrochloride BP 24mg</v>
      </c>
      <c r="C55" s="48"/>
      <c r="D55" s="48"/>
      <c r="E55" s="48"/>
      <c r="F55" s="48"/>
      <c r="G55" s="48"/>
    </row>
    <row r="56" spans="1:7" ht="26.25" customHeight="1" x14ac:dyDescent="0.4">
      <c r="A56" s="116" t="s">
        <v>83</v>
      </c>
      <c r="B56" s="117">
        <v>16</v>
      </c>
      <c r="C56" s="48" t="str">
        <f>B20</f>
        <v>Betahistine Dihydrochloride BP 16mg</v>
      </c>
      <c r="D56" s="48"/>
      <c r="E56" s="48"/>
      <c r="F56" s="48"/>
      <c r="G56" s="48"/>
    </row>
    <row r="57" spans="1:7" ht="17.25" customHeight="1" x14ac:dyDescent="0.3">
      <c r="A57" s="118" t="s">
        <v>84</v>
      </c>
      <c r="B57" s="118">
        <f>Uniformity!C46</f>
        <v>300.54449999999997</v>
      </c>
      <c r="C57" s="118"/>
      <c r="D57" s="119"/>
      <c r="E57" s="119"/>
      <c r="F57" s="119"/>
      <c r="G57" s="119"/>
    </row>
    <row r="58" spans="1:7" ht="57.75" customHeight="1" x14ac:dyDescent="0.4">
      <c r="A58" s="69" t="s">
        <v>85</v>
      </c>
      <c r="B58" s="70">
        <v>50</v>
      </c>
      <c r="C58" s="120" t="s">
        <v>86</v>
      </c>
      <c r="D58" s="121" t="s">
        <v>87</v>
      </c>
      <c r="E58" s="122" t="s">
        <v>88</v>
      </c>
      <c r="F58" s="123" t="s">
        <v>89</v>
      </c>
      <c r="G58" s="124" t="s">
        <v>90</v>
      </c>
    </row>
    <row r="59" spans="1:7" ht="26.25" customHeight="1" x14ac:dyDescent="0.4">
      <c r="A59" s="71" t="s">
        <v>58</v>
      </c>
      <c r="B59" s="72">
        <v>1</v>
      </c>
      <c r="C59" s="125">
        <v>1</v>
      </c>
      <c r="D59" s="229">
        <v>64005423</v>
      </c>
      <c r="E59" s="126">
        <f t="shared" ref="E59:E68" si="0">IF(ISBLANK(D59),"-",D59/$D$50*$D$47*$B$67)</f>
        <v>16.177384475768758</v>
      </c>
      <c r="F59" s="127">
        <f t="shared" ref="F59:F68" si="1">IF(ISBLANK(D59),"-",E59/$E$70*100)</f>
        <v>99.700350594460403</v>
      </c>
      <c r="G59" s="128">
        <f t="shared" ref="G59:G68" si="2">IF(ISBLANK(D59),"-",E59/$B$56*100)</f>
        <v>101.10865297355474</v>
      </c>
    </row>
    <row r="60" spans="1:7" ht="26.25" customHeight="1" x14ac:dyDescent="0.4">
      <c r="A60" s="71" t="s">
        <v>62</v>
      </c>
      <c r="B60" s="72">
        <v>1</v>
      </c>
      <c r="C60" s="129">
        <v>2</v>
      </c>
      <c r="D60" s="230">
        <v>63464012</v>
      </c>
      <c r="E60" s="130">
        <f t="shared" si="0"/>
        <v>16.040542728681007</v>
      </c>
      <c r="F60" s="131">
        <f t="shared" si="1"/>
        <v>98.857002265746175</v>
      </c>
      <c r="G60" s="132">
        <f t="shared" si="2"/>
        <v>100.2533920542563</v>
      </c>
    </row>
    <row r="61" spans="1:7" ht="26.25" customHeight="1" x14ac:dyDescent="0.4">
      <c r="A61" s="71" t="s">
        <v>63</v>
      </c>
      <c r="B61" s="72">
        <v>1</v>
      </c>
      <c r="C61" s="129">
        <v>3</v>
      </c>
      <c r="D61" s="230">
        <v>63817882</v>
      </c>
      <c r="E61" s="130">
        <f t="shared" si="0"/>
        <v>16.129983447546973</v>
      </c>
      <c r="F61" s="131">
        <f t="shared" si="1"/>
        <v>99.408220606493032</v>
      </c>
      <c r="G61" s="132">
        <f t="shared" si="2"/>
        <v>100.81239654716858</v>
      </c>
    </row>
    <row r="62" spans="1:7" ht="26.25" customHeight="1" x14ac:dyDescent="0.4">
      <c r="A62" s="71" t="s">
        <v>64</v>
      </c>
      <c r="B62" s="72">
        <v>1</v>
      </c>
      <c r="C62" s="129">
        <v>4</v>
      </c>
      <c r="D62" s="230">
        <v>62812737</v>
      </c>
      <c r="E62" s="130">
        <f t="shared" si="0"/>
        <v>15.87593283188435</v>
      </c>
      <c r="F62" s="131">
        <f t="shared" si="1"/>
        <v>97.842520323592495</v>
      </c>
      <c r="G62" s="132">
        <f t="shared" si="2"/>
        <v>99.224580199277185</v>
      </c>
    </row>
    <row r="63" spans="1:7" ht="26.25" customHeight="1" x14ac:dyDescent="0.4">
      <c r="A63" s="71" t="s">
        <v>65</v>
      </c>
      <c r="B63" s="72">
        <v>1</v>
      </c>
      <c r="C63" s="129">
        <v>5</v>
      </c>
      <c r="D63" s="230">
        <v>64783824</v>
      </c>
      <c r="E63" s="130">
        <f t="shared" si="0"/>
        <v>16.374125496499499</v>
      </c>
      <c r="F63" s="131">
        <f t="shared" si="1"/>
        <v>100.91285492558684</v>
      </c>
      <c r="G63" s="132">
        <f t="shared" si="2"/>
        <v>102.33828435312186</v>
      </c>
    </row>
    <row r="64" spans="1:7" ht="26.25" customHeight="1" x14ac:dyDescent="0.4">
      <c r="A64" s="71" t="s">
        <v>66</v>
      </c>
      <c r="B64" s="72">
        <v>1</v>
      </c>
      <c r="C64" s="129">
        <v>6</v>
      </c>
      <c r="D64" s="230">
        <v>63528942</v>
      </c>
      <c r="E64" s="130">
        <f t="shared" si="0"/>
        <v>16.05695380019305</v>
      </c>
      <c r="F64" s="131">
        <f t="shared" si="1"/>
        <v>98.958142816978807</v>
      </c>
      <c r="G64" s="132">
        <f t="shared" si="2"/>
        <v>100.35596125120657</v>
      </c>
    </row>
    <row r="65" spans="1:7" ht="26.25" customHeight="1" x14ac:dyDescent="0.4">
      <c r="A65" s="71" t="s">
        <v>68</v>
      </c>
      <c r="B65" s="72">
        <v>1</v>
      </c>
      <c r="C65" s="129">
        <v>7</v>
      </c>
      <c r="D65" s="230">
        <v>65399526</v>
      </c>
      <c r="E65" s="130">
        <f t="shared" si="0"/>
        <v>16.529744309869418</v>
      </c>
      <c r="F65" s="131">
        <f t="shared" si="1"/>
        <v>101.87192530407194</v>
      </c>
      <c r="G65" s="132">
        <f t="shared" si="2"/>
        <v>103.31090193668386</v>
      </c>
    </row>
    <row r="66" spans="1:7" ht="26.25" customHeight="1" x14ac:dyDescent="0.4">
      <c r="A66" s="71" t="s">
        <v>70</v>
      </c>
      <c r="B66" s="72">
        <v>1</v>
      </c>
      <c r="C66" s="129">
        <v>8</v>
      </c>
      <c r="D66" s="230">
        <v>64014622</v>
      </c>
      <c r="E66" s="130">
        <f t="shared" si="0"/>
        <v>16.179709525003922</v>
      </c>
      <c r="F66" s="131">
        <f t="shared" si="1"/>
        <v>99.714679747868516</v>
      </c>
      <c r="G66" s="132">
        <f t="shared" si="2"/>
        <v>101.12318453127452</v>
      </c>
    </row>
    <row r="67" spans="1:7" ht="27" customHeight="1" x14ac:dyDescent="0.4">
      <c r="A67" s="71" t="s">
        <v>72</v>
      </c>
      <c r="B67" s="99">
        <f>(B66/B65)*(B64/B63)*(B62/B61)*(B60/B59)*B58</f>
        <v>50</v>
      </c>
      <c r="C67" s="129">
        <v>9</v>
      </c>
      <c r="D67" s="230">
        <v>64814505</v>
      </c>
      <c r="E67" s="130">
        <f t="shared" si="0"/>
        <v>16.381880125870527</v>
      </c>
      <c r="F67" s="131">
        <f t="shared" si="1"/>
        <v>100.96064628939968</v>
      </c>
      <c r="G67" s="132">
        <f t="shared" si="2"/>
        <v>102.3867507866908</v>
      </c>
    </row>
    <row r="68" spans="1:7" ht="27" customHeight="1" x14ac:dyDescent="0.4">
      <c r="A68" s="411" t="s">
        <v>74</v>
      </c>
      <c r="B68" s="416"/>
      <c r="C68" s="133">
        <v>10</v>
      </c>
      <c r="D68" s="231">
        <v>65336440</v>
      </c>
      <c r="E68" s="134">
        <f t="shared" si="0"/>
        <v>16.513799309755314</v>
      </c>
      <c r="F68" s="135">
        <f t="shared" si="1"/>
        <v>101.77365712580209</v>
      </c>
      <c r="G68" s="136">
        <f t="shared" si="2"/>
        <v>103.21124568597071</v>
      </c>
    </row>
    <row r="69" spans="1:7" ht="19.5" customHeight="1" x14ac:dyDescent="0.3">
      <c r="A69" s="413"/>
      <c r="B69" s="417"/>
      <c r="C69" s="129"/>
      <c r="D69" s="101"/>
      <c r="E69" s="137"/>
      <c r="F69" s="119"/>
      <c r="G69" s="138"/>
    </row>
    <row r="70" spans="1:7" ht="26.25" customHeight="1" x14ac:dyDescent="0.4">
      <c r="A70" s="119"/>
      <c r="B70" s="119"/>
      <c r="C70" s="139" t="s">
        <v>91</v>
      </c>
      <c r="D70" s="140"/>
      <c r="E70" s="141">
        <f>AVERAGE(E59:E68)</f>
        <v>16.226005605107282</v>
      </c>
      <c r="F70" s="141">
        <f>AVERAGE(F59:F68)</f>
        <v>99.999999999999986</v>
      </c>
      <c r="G70" s="142">
        <f>AVERAGE(G59:G68)</f>
        <v>101.41253503192051</v>
      </c>
    </row>
    <row r="71" spans="1:7" ht="26.25" customHeight="1" x14ac:dyDescent="0.4">
      <c r="A71" s="119"/>
      <c r="B71" s="119"/>
      <c r="C71" s="139"/>
      <c r="D71" s="140"/>
      <c r="E71" s="143">
        <f>STDEV(E59:E68)/E70</f>
        <v>1.3322553300478681E-2</v>
      </c>
      <c r="F71" s="143">
        <f>STDEV(F59:F68)/F70</f>
        <v>1.3322553300478695E-2</v>
      </c>
      <c r="G71" s="144">
        <f>STDEV(G59:G68)/G70</f>
        <v>1.3322553300478686E-2</v>
      </c>
    </row>
    <row r="72" spans="1:7" ht="27" customHeight="1" x14ac:dyDescent="0.4">
      <c r="A72" s="119"/>
      <c r="B72" s="119"/>
      <c r="C72" s="145"/>
      <c r="D72" s="146"/>
      <c r="E72" s="147">
        <f>COUNT(E59:E68)</f>
        <v>10</v>
      </c>
      <c r="F72" s="147">
        <f>COUNT(F59:F68)</f>
        <v>10</v>
      </c>
      <c r="G72" s="148">
        <f>COUNT(G59:G68)</f>
        <v>10</v>
      </c>
    </row>
    <row r="73" spans="1:7" ht="18.75" customHeight="1" x14ac:dyDescent="0.3">
      <c r="A73" s="119"/>
      <c r="B73" s="149"/>
      <c r="C73" s="149"/>
      <c r="D73" s="98"/>
      <c r="E73" s="140"/>
      <c r="F73" s="95"/>
      <c r="G73" s="150"/>
    </row>
    <row r="74" spans="1:7" ht="18.75" customHeight="1" x14ac:dyDescent="0.3">
      <c r="A74" s="58" t="s">
        <v>92</v>
      </c>
      <c r="B74" s="151" t="s">
        <v>93</v>
      </c>
      <c r="C74" s="415" t="str">
        <f>B20</f>
        <v>Betahistine Dihydrochloride BP 16mg</v>
      </c>
      <c r="D74" s="415"/>
      <c r="E74" s="152" t="s">
        <v>94</v>
      </c>
      <c r="F74" s="152"/>
      <c r="G74" s="153">
        <f>G70</f>
        <v>101.41253503192051</v>
      </c>
    </row>
    <row r="75" spans="1:7" ht="18.75" customHeight="1" x14ac:dyDescent="0.3">
      <c r="A75" s="58"/>
      <c r="B75" s="151"/>
      <c r="C75" s="154"/>
      <c r="D75" s="154"/>
      <c r="E75" s="152"/>
      <c r="F75" s="152"/>
      <c r="G75" s="155"/>
    </row>
    <row r="76" spans="1:7" ht="18.75" customHeight="1" x14ac:dyDescent="0.3">
      <c r="A76" s="49" t="s">
        <v>1</v>
      </c>
      <c r="B76" s="156" t="s">
        <v>95</v>
      </c>
      <c r="C76" s="48"/>
      <c r="D76" s="48"/>
      <c r="E76" s="48"/>
      <c r="F76" s="48"/>
      <c r="G76" s="119"/>
    </row>
    <row r="77" spans="1:7" ht="18.75" customHeight="1" x14ac:dyDescent="0.3">
      <c r="A77" s="49"/>
      <c r="B77" s="114"/>
      <c r="C77" s="48"/>
      <c r="D77" s="48"/>
      <c r="E77" s="48"/>
      <c r="F77" s="48"/>
      <c r="G77" s="119"/>
    </row>
    <row r="78" spans="1:7" ht="18.75" customHeight="1" x14ac:dyDescent="0.3">
      <c r="A78" s="119"/>
      <c r="B78" s="418" t="s">
        <v>96</v>
      </c>
      <c r="C78" s="419"/>
      <c r="D78" s="48"/>
      <c r="E78" s="119"/>
      <c r="F78" s="119"/>
      <c r="G78" s="119"/>
    </row>
    <row r="79" spans="1:7" ht="18.75" customHeight="1" x14ac:dyDescent="0.3">
      <c r="A79" s="119"/>
      <c r="B79" s="157" t="s">
        <v>40</v>
      </c>
      <c r="C79" s="158">
        <f>G70</f>
        <v>101.41253503192051</v>
      </c>
      <c r="D79" s="48"/>
      <c r="E79" s="119"/>
      <c r="F79" s="119"/>
      <c r="G79" s="119"/>
    </row>
    <row r="80" spans="1:7" ht="26.25" customHeight="1" x14ac:dyDescent="0.4">
      <c r="A80" s="119"/>
      <c r="B80" s="157" t="s">
        <v>97</v>
      </c>
      <c r="C80" s="159">
        <v>2.4</v>
      </c>
      <c r="D80" s="48"/>
      <c r="E80" s="119"/>
      <c r="F80" s="119"/>
      <c r="G80" s="119"/>
    </row>
    <row r="81" spans="1:7" ht="18.75" customHeight="1" x14ac:dyDescent="0.3">
      <c r="A81" s="119"/>
      <c r="B81" s="157" t="s">
        <v>98</v>
      </c>
      <c r="C81" s="158">
        <f>STDEV(G59:G68)</f>
        <v>1.351073903299423</v>
      </c>
      <c r="D81" s="48"/>
      <c r="E81" s="119"/>
      <c r="F81" s="119"/>
      <c r="G81" s="119"/>
    </row>
    <row r="82" spans="1:7" ht="18.75" customHeight="1" x14ac:dyDescent="0.3">
      <c r="A82" s="119"/>
      <c r="B82" s="157" t="s">
        <v>99</v>
      </c>
      <c r="C82" s="158">
        <f>IF(OR(G70&lt;98.5,G70&gt;101.5),(IF(98.5&gt;G70,98.5,101.5)),C79)</f>
        <v>101.41253503192051</v>
      </c>
      <c r="D82" s="48"/>
      <c r="E82" s="119"/>
      <c r="F82" s="119"/>
      <c r="G82" s="119"/>
    </row>
    <row r="83" spans="1:7" ht="18.75" customHeight="1" x14ac:dyDescent="0.3">
      <c r="A83" s="119"/>
      <c r="B83" s="157" t="s">
        <v>100</v>
      </c>
      <c r="C83" s="160">
        <f>ABS(C82-C79)+(C80*C81)</f>
        <v>3.242577367918615</v>
      </c>
      <c r="D83" s="48"/>
      <c r="E83" s="119"/>
      <c r="F83" s="119"/>
      <c r="G83" s="119"/>
    </row>
    <row r="84" spans="1:7" ht="18.75" customHeight="1" x14ac:dyDescent="0.3">
      <c r="A84" s="116"/>
      <c r="B84" s="161"/>
      <c r="C84" s="48"/>
      <c r="D84" s="48"/>
      <c r="E84" s="48"/>
      <c r="F84" s="48"/>
      <c r="G84" s="48"/>
    </row>
    <row r="85" spans="1:7" ht="18.75" customHeight="1" x14ac:dyDescent="0.3">
      <c r="A85" s="57" t="s">
        <v>101</v>
      </c>
      <c r="B85" s="57" t="s">
        <v>102</v>
      </c>
      <c r="C85" s="48"/>
      <c r="D85" s="48"/>
      <c r="E85" s="48"/>
      <c r="F85" s="48"/>
      <c r="G85" s="48"/>
    </row>
    <row r="86" spans="1:7" ht="18.75" customHeight="1" x14ac:dyDescent="0.3">
      <c r="A86" s="57"/>
      <c r="B86" s="57"/>
      <c r="C86" s="48"/>
      <c r="D86" s="48"/>
      <c r="E86" s="48"/>
      <c r="F86" s="48"/>
      <c r="G86" s="48"/>
    </row>
    <row r="87" spans="1:7" ht="26.25" customHeight="1" x14ac:dyDescent="0.4">
      <c r="A87" s="58" t="s">
        <v>4</v>
      </c>
      <c r="B87" s="420" t="s">
        <v>121</v>
      </c>
      <c r="C87" s="420"/>
      <c r="D87" s="48"/>
      <c r="E87" s="48"/>
      <c r="F87" s="48"/>
      <c r="G87" s="48"/>
    </row>
    <row r="88" spans="1:7" ht="26.25" customHeight="1" x14ac:dyDescent="0.4">
      <c r="A88" s="59" t="s">
        <v>45</v>
      </c>
      <c r="B88" s="421" t="s">
        <v>122</v>
      </c>
      <c r="C88" s="421"/>
      <c r="D88" s="48"/>
      <c r="E88" s="48"/>
      <c r="F88" s="48"/>
      <c r="G88" s="48"/>
    </row>
    <row r="89" spans="1:7" ht="27" customHeight="1" x14ac:dyDescent="0.4">
      <c r="A89" s="59" t="s">
        <v>6</v>
      </c>
      <c r="B89" s="60">
        <v>99.5</v>
      </c>
      <c r="C89" s="48"/>
      <c r="D89" s="48"/>
      <c r="E89" s="48"/>
      <c r="F89" s="48"/>
      <c r="G89" s="48"/>
    </row>
    <row r="90" spans="1:7" ht="27" customHeight="1" x14ac:dyDescent="0.4">
      <c r="A90" s="59" t="s">
        <v>46</v>
      </c>
      <c r="B90" s="60">
        <f>B33</f>
        <v>0</v>
      </c>
      <c r="C90" s="422" t="s">
        <v>103</v>
      </c>
      <c r="D90" s="423"/>
      <c r="E90" s="423"/>
      <c r="F90" s="423"/>
      <c r="G90" s="424"/>
    </row>
    <row r="91" spans="1:7" ht="18.75" customHeight="1" x14ac:dyDescent="0.3">
      <c r="A91" s="59" t="s">
        <v>48</v>
      </c>
      <c r="B91" s="63">
        <f>B89-B90</f>
        <v>99.5</v>
      </c>
      <c r="C91" s="162"/>
      <c r="D91" s="162"/>
      <c r="E91" s="162"/>
      <c r="F91" s="162"/>
      <c r="G91" s="163"/>
    </row>
    <row r="92" spans="1:7" ht="19.5" customHeight="1" x14ac:dyDescent="0.3">
      <c r="A92" s="59"/>
      <c r="B92" s="63"/>
      <c r="C92" s="162"/>
      <c r="D92" s="162"/>
      <c r="E92" s="162"/>
      <c r="F92" s="162"/>
      <c r="G92" s="163"/>
    </row>
    <row r="93" spans="1:7" ht="27" customHeight="1" x14ac:dyDescent="0.4">
      <c r="A93" s="59" t="s">
        <v>49</v>
      </c>
      <c r="B93" s="65">
        <v>1</v>
      </c>
      <c r="C93" s="407" t="s">
        <v>104</v>
      </c>
      <c r="D93" s="408"/>
      <c r="E93" s="408"/>
      <c r="F93" s="408"/>
      <c r="G93" s="408"/>
    </row>
    <row r="94" spans="1:7" ht="27" customHeight="1" x14ac:dyDescent="0.4">
      <c r="A94" s="59" t="s">
        <v>51</v>
      </c>
      <c r="B94" s="65">
        <v>1</v>
      </c>
      <c r="C94" s="407" t="s">
        <v>105</v>
      </c>
      <c r="D94" s="408"/>
      <c r="E94" s="408"/>
      <c r="F94" s="408"/>
      <c r="G94" s="408"/>
    </row>
    <row r="95" spans="1:7" ht="18.75" customHeight="1" x14ac:dyDescent="0.3">
      <c r="A95" s="59"/>
      <c r="B95" s="66"/>
      <c r="C95" s="67"/>
      <c r="D95" s="67"/>
      <c r="E95" s="67"/>
      <c r="F95" s="67"/>
      <c r="G95" s="67"/>
    </row>
    <row r="96" spans="1:7" ht="18.75" customHeight="1" x14ac:dyDescent="0.3">
      <c r="A96" s="59" t="s">
        <v>53</v>
      </c>
      <c r="B96" s="68">
        <f>B93/B94</f>
        <v>1</v>
      </c>
      <c r="C96" s="48" t="s">
        <v>54</v>
      </c>
      <c r="D96" s="48"/>
      <c r="E96" s="48"/>
      <c r="F96" s="48"/>
      <c r="G96" s="48"/>
    </row>
    <row r="97" spans="1:7" ht="19.5" customHeight="1" x14ac:dyDescent="0.3">
      <c r="A97" s="57"/>
      <c r="B97" s="57"/>
      <c r="C97" s="48"/>
      <c r="D97" s="48"/>
      <c r="E97" s="48"/>
      <c r="F97" s="48"/>
      <c r="G97" s="48"/>
    </row>
    <row r="98" spans="1:7" ht="27" customHeight="1" x14ac:dyDescent="0.4">
      <c r="A98" s="69" t="s">
        <v>55</v>
      </c>
      <c r="B98" s="164">
        <v>100</v>
      </c>
      <c r="C98" s="48"/>
      <c r="D98" s="165" t="s">
        <v>56</v>
      </c>
      <c r="E98" s="166"/>
      <c r="F98" s="409" t="s">
        <v>57</v>
      </c>
      <c r="G98" s="410"/>
    </row>
    <row r="99" spans="1:7" ht="26.25" customHeight="1" x14ac:dyDescent="0.4">
      <c r="A99" s="71" t="s">
        <v>58</v>
      </c>
      <c r="B99" s="167">
        <v>4</v>
      </c>
      <c r="C99" s="73" t="s">
        <v>59</v>
      </c>
      <c r="D99" s="74" t="s">
        <v>60</v>
      </c>
      <c r="E99" s="75" t="s">
        <v>61</v>
      </c>
      <c r="F99" s="74" t="s">
        <v>60</v>
      </c>
      <c r="G99" s="76" t="s">
        <v>61</v>
      </c>
    </row>
    <row r="100" spans="1:7" ht="26.25" customHeight="1" x14ac:dyDescent="0.4">
      <c r="A100" s="71" t="s">
        <v>62</v>
      </c>
      <c r="B100" s="167">
        <v>50</v>
      </c>
      <c r="C100" s="77">
        <v>1</v>
      </c>
      <c r="D100" s="78"/>
      <c r="E100" s="168" t="str">
        <f>IF(ISBLANK(D100),"-",$D$110/$D$107*D100)</f>
        <v>-</v>
      </c>
      <c r="F100" s="169"/>
      <c r="G100" s="80" t="str">
        <f>IF(ISBLANK(F100),"-",$D$110/$F$107*F100)</f>
        <v>-</v>
      </c>
    </row>
    <row r="101" spans="1:7" ht="26.25" customHeight="1" x14ac:dyDescent="0.4">
      <c r="A101" s="71" t="s">
        <v>63</v>
      </c>
      <c r="B101" s="167">
        <v>1</v>
      </c>
      <c r="C101" s="81">
        <v>2</v>
      </c>
      <c r="D101" s="82"/>
      <c r="E101" s="170" t="str">
        <f>IF(ISBLANK(D101),"-",$D$110/$D$107*D101)</f>
        <v>-</v>
      </c>
      <c r="F101" s="60"/>
      <c r="G101" s="84" t="str">
        <f>IF(ISBLANK(F101),"-",$D$110/$F$107*F101)</f>
        <v>-</v>
      </c>
    </row>
    <row r="102" spans="1:7" ht="26.25" customHeight="1" x14ac:dyDescent="0.4">
      <c r="A102" s="71" t="s">
        <v>64</v>
      </c>
      <c r="B102" s="167">
        <v>1</v>
      </c>
      <c r="C102" s="81">
        <v>3</v>
      </c>
      <c r="D102" s="82"/>
      <c r="E102" s="170" t="str">
        <f>IF(ISBLANK(D102),"-",$D$110/$D$107*D102)</f>
        <v>-</v>
      </c>
      <c r="F102" s="171"/>
      <c r="G102" s="84" t="str">
        <f>IF(ISBLANK(F102),"-",$D$110/$F$107*F102)</f>
        <v>-</v>
      </c>
    </row>
    <row r="103" spans="1:7" ht="26.25" customHeight="1" x14ac:dyDescent="0.4">
      <c r="A103" s="71" t="s">
        <v>65</v>
      </c>
      <c r="B103" s="167">
        <v>1</v>
      </c>
      <c r="C103" s="85">
        <v>4</v>
      </c>
      <c r="D103" s="86"/>
      <c r="E103" s="172" t="str">
        <f>IF(ISBLANK(D103),"-",$D$110/$D$107*D103)</f>
        <v>-</v>
      </c>
      <c r="F103" s="173"/>
      <c r="G103" s="88" t="str">
        <f>IF(ISBLANK(F103),"-",$D$110/$F$107*F103)</f>
        <v>-</v>
      </c>
    </row>
    <row r="104" spans="1:7" ht="27" customHeight="1" x14ac:dyDescent="0.4">
      <c r="A104" s="71" t="s">
        <v>66</v>
      </c>
      <c r="B104" s="167">
        <v>1</v>
      </c>
      <c r="C104" s="89" t="s">
        <v>67</v>
      </c>
      <c r="D104" s="174" t="e">
        <f>AVERAGE(D100:D103)</f>
        <v>#DIV/0!</v>
      </c>
      <c r="E104" s="91" t="e">
        <f>AVERAGE(E100:E103)</f>
        <v>#DIV/0!</v>
      </c>
      <c r="F104" s="174" t="e">
        <f>AVERAGE(F100:F103)</f>
        <v>#DIV/0!</v>
      </c>
      <c r="G104" s="175" t="e">
        <f>AVERAGE(G100:G103)</f>
        <v>#DIV/0!</v>
      </c>
    </row>
    <row r="105" spans="1:7" ht="26.25" customHeight="1" x14ac:dyDescent="0.4">
      <c r="A105" s="71" t="s">
        <v>68</v>
      </c>
      <c r="B105" s="167">
        <v>1</v>
      </c>
      <c r="C105" s="93" t="s">
        <v>69</v>
      </c>
      <c r="D105" s="176">
        <v>24.61</v>
      </c>
      <c r="E105" s="95"/>
      <c r="F105" s="94">
        <v>21.92</v>
      </c>
      <c r="G105" s="48"/>
    </row>
    <row r="106" spans="1:7" ht="26.25" customHeight="1" x14ac:dyDescent="0.4">
      <c r="A106" s="71" t="s">
        <v>70</v>
      </c>
      <c r="B106" s="167">
        <v>1</v>
      </c>
      <c r="C106" s="96" t="s">
        <v>71</v>
      </c>
      <c r="D106" s="177">
        <f>D105*$B$96</f>
        <v>24.61</v>
      </c>
      <c r="E106" s="98"/>
      <c r="F106" s="97">
        <f>F105*$B$96</f>
        <v>21.92</v>
      </c>
      <c r="G106" s="48"/>
    </row>
    <row r="107" spans="1:7" ht="19.5" customHeight="1" x14ac:dyDescent="0.3">
      <c r="A107" s="71" t="s">
        <v>72</v>
      </c>
      <c r="B107" s="209">
        <f>(B106/B105)*(B104/B103)*(B102/B101)*(B100/B99)*B98</f>
        <v>1250</v>
      </c>
      <c r="C107" s="96" t="s">
        <v>73</v>
      </c>
      <c r="D107" s="178">
        <f>D106*$B$91/100</f>
        <v>24.48695</v>
      </c>
      <c r="E107" s="101"/>
      <c r="F107" s="100">
        <f>F106*$B$91/100</f>
        <v>21.810400000000001</v>
      </c>
      <c r="G107" s="48"/>
    </row>
    <row r="108" spans="1:7" ht="19.5" customHeight="1" x14ac:dyDescent="0.3">
      <c r="A108" s="411" t="s">
        <v>74</v>
      </c>
      <c r="B108" s="412"/>
      <c r="C108" s="96" t="s">
        <v>75</v>
      </c>
      <c r="D108" s="177">
        <f>D107/$B$107</f>
        <v>1.9589559999999999E-2</v>
      </c>
      <c r="E108" s="101"/>
      <c r="F108" s="102">
        <f>F107/$B$107</f>
        <v>1.744832E-2</v>
      </c>
      <c r="G108" s="179"/>
    </row>
    <row r="109" spans="1:7" ht="19.5" customHeight="1" x14ac:dyDescent="0.3">
      <c r="A109" s="413"/>
      <c r="B109" s="414"/>
      <c r="C109" s="227" t="s">
        <v>76</v>
      </c>
      <c r="D109" s="181">
        <f>$B$56/$B$125</f>
        <v>1.7777777777777778E-2</v>
      </c>
      <c r="E109" s="48"/>
      <c r="F109" s="105"/>
      <c r="G109" s="182"/>
    </row>
    <row r="110" spans="1:7" ht="18.75" customHeight="1" x14ac:dyDescent="0.3">
      <c r="A110" s="48"/>
      <c r="B110" s="48"/>
      <c r="C110" s="180" t="s">
        <v>77</v>
      </c>
      <c r="D110" s="177">
        <f>D109*$B$107</f>
        <v>22.222222222222221</v>
      </c>
      <c r="E110" s="48"/>
      <c r="F110" s="105"/>
      <c r="G110" s="179"/>
    </row>
    <row r="111" spans="1:7" ht="19.5" customHeight="1" x14ac:dyDescent="0.3">
      <c r="A111" s="48"/>
      <c r="B111" s="48"/>
      <c r="C111" s="183" t="s">
        <v>78</v>
      </c>
      <c r="D111" s="184">
        <f>D110/B96</f>
        <v>22.222222222222221</v>
      </c>
      <c r="E111" s="48"/>
      <c r="F111" s="110"/>
      <c r="G111" s="179"/>
    </row>
    <row r="112" spans="1:7" ht="18.75" customHeight="1" x14ac:dyDescent="0.3">
      <c r="A112" s="48"/>
      <c r="B112" s="48"/>
      <c r="C112" s="185" t="s">
        <v>79</v>
      </c>
      <c r="D112" s="186" t="e">
        <f>AVERAGE(E100:E103,G100:G103)</f>
        <v>#DIV/0!</v>
      </c>
      <c r="E112" s="48"/>
      <c r="F112" s="110"/>
      <c r="G112" s="187"/>
    </row>
    <row r="113" spans="1:7" ht="18.75" customHeight="1" x14ac:dyDescent="0.3">
      <c r="A113" s="48"/>
      <c r="B113" s="48"/>
      <c r="C113" s="188" t="s">
        <v>80</v>
      </c>
      <c r="D113" s="189" t="e">
        <f>STDEV(E100:E103,G100:G103)/D112</f>
        <v>#DIV/0!</v>
      </c>
      <c r="E113" s="48"/>
      <c r="F113" s="110"/>
      <c r="G113" s="179"/>
    </row>
    <row r="114" spans="1:7" ht="19.5" customHeight="1" x14ac:dyDescent="0.3">
      <c r="A114" s="48"/>
      <c r="B114" s="48"/>
      <c r="C114" s="190" t="s">
        <v>20</v>
      </c>
      <c r="D114" s="191">
        <f>COUNT(E100:E103,G100:G103)</f>
        <v>0</v>
      </c>
      <c r="E114" s="48"/>
      <c r="F114" s="110"/>
      <c r="G114" s="179"/>
    </row>
    <row r="115" spans="1:7" ht="19.5" customHeight="1" x14ac:dyDescent="0.3">
      <c r="A115" s="49"/>
      <c r="B115" s="49"/>
      <c r="C115" s="49"/>
      <c r="D115" s="49"/>
      <c r="E115" s="49"/>
      <c r="F115" s="48"/>
      <c r="G115" s="48"/>
    </row>
    <row r="116" spans="1:7" ht="26.25" customHeight="1" x14ac:dyDescent="0.4">
      <c r="A116" s="69" t="s">
        <v>106</v>
      </c>
      <c r="B116" s="164">
        <v>900</v>
      </c>
      <c r="C116" s="192" t="s">
        <v>107</v>
      </c>
      <c r="D116" s="193" t="s">
        <v>60</v>
      </c>
      <c r="E116" s="194" t="s">
        <v>108</v>
      </c>
      <c r="F116" s="195" t="s">
        <v>109</v>
      </c>
      <c r="G116" s="48"/>
    </row>
    <row r="117" spans="1:7" ht="26.25" customHeight="1" x14ac:dyDescent="0.4">
      <c r="A117" s="71" t="s">
        <v>110</v>
      </c>
      <c r="B117" s="167">
        <v>1</v>
      </c>
      <c r="C117" s="129">
        <v>1</v>
      </c>
      <c r="D117" s="515"/>
      <c r="E117" s="197" t="str">
        <f>IF(ISBLANK(D120),"-",D120/$D$112*$D$109*$B$125)</f>
        <v>-</v>
      </c>
      <c r="F117" s="198" t="str">
        <f>IF(ISBLANK(D120), "-", E117/$B$56)</f>
        <v>-</v>
      </c>
      <c r="G117" s="48"/>
    </row>
    <row r="118" spans="1:7" ht="26.25" customHeight="1" x14ac:dyDescent="0.4">
      <c r="A118" s="71" t="s">
        <v>111</v>
      </c>
      <c r="B118" s="167">
        <v>1</v>
      </c>
      <c r="C118" s="129">
        <v>2</v>
      </c>
      <c r="D118" s="196"/>
      <c r="E118" s="199" t="str">
        <f t="shared" ref="E117:E122" si="3">IF(ISBLANK(D118),"-",D118/$D$112*$D$109*$B$125)</f>
        <v>-</v>
      </c>
      <c r="F118" s="200" t="str">
        <f t="shared" ref="F117:F122" si="4">IF(ISBLANK(D118), "-", E118/$B$56)</f>
        <v>-</v>
      </c>
      <c r="G118" s="48"/>
    </row>
    <row r="119" spans="1:7" ht="26.25" customHeight="1" x14ac:dyDescent="0.4">
      <c r="A119" s="71" t="s">
        <v>112</v>
      </c>
      <c r="B119" s="167">
        <v>1</v>
      </c>
      <c r="C119" s="129">
        <v>3</v>
      </c>
      <c r="D119" s="196"/>
      <c r="E119" s="199" t="str">
        <f t="shared" si="3"/>
        <v>-</v>
      </c>
      <c r="F119" s="200" t="str">
        <f t="shared" si="4"/>
        <v>-</v>
      </c>
      <c r="G119" s="48"/>
    </row>
    <row r="120" spans="1:7" ht="26.25" customHeight="1" x14ac:dyDescent="0.4">
      <c r="A120" s="71" t="s">
        <v>113</v>
      </c>
      <c r="B120" s="167">
        <v>1</v>
      </c>
      <c r="C120" s="129">
        <v>4</v>
      </c>
      <c r="D120" s="196"/>
      <c r="E120" s="199" t="e">
        <f>IF(ISBLANK(#REF!),"-",#REF!/$D$112*$D$109*$B$125)</f>
        <v>#REF!</v>
      </c>
      <c r="F120" s="200" t="e">
        <f>IF(ISBLANK(#REF!), "-", E120/$B$56)</f>
        <v>#REF!</v>
      </c>
      <c r="G120" s="48"/>
    </row>
    <row r="121" spans="1:7" ht="26.25" customHeight="1" x14ac:dyDescent="0.4">
      <c r="A121" s="71" t="s">
        <v>114</v>
      </c>
      <c r="B121" s="167">
        <v>1</v>
      </c>
      <c r="C121" s="129">
        <v>5</v>
      </c>
      <c r="D121" s="196"/>
      <c r="E121" s="199" t="str">
        <f t="shared" si="3"/>
        <v>-</v>
      </c>
      <c r="F121" s="200" t="str">
        <f t="shared" si="4"/>
        <v>-</v>
      </c>
      <c r="G121" s="48"/>
    </row>
    <row r="122" spans="1:7" ht="26.25" customHeight="1" x14ac:dyDescent="0.4">
      <c r="A122" s="71" t="s">
        <v>115</v>
      </c>
      <c r="B122" s="167">
        <v>1</v>
      </c>
      <c r="C122" s="201">
        <v>6</v>
      </c>
      <c r="D122" s="202"/>
      <c r="E122" s="203" t="str">
        <f t="shared" si="3"/>
        <v>-</v>
      </c>
      <c r="F122" s="204" t="str">
        <f t="shared" si="4"/>
        <v>-</v>
      </c>
      <c r="G122" s="48"/>
    </row>
    <row r="123" spans="1:7" ht="26.25" customHeight="1" x14ac:dyDescent="0.4">
      <c r="A123" s="71" t="s">
        <v>116</v>
      </c>
      <c r="B123" s="167">
        <v>1</v>
      </c>
      <c r="C123" s="129"/>
      <c r="D123" s="205"/>
      <c r="E123" s="149"/>
      <c r="F123" s="132"/>
      <c r="G123" s="48"/>
    </row>
    <row r="124" spans="1:7" ht="26.25" customHeight="1" x14ac:dyDescent="0.4">
      <c r="A124" s="71" t="s">
        <v>117</v>
      </c>
      <c r="B124" s="167">
        <v>1</v>
      </c>
      <c r="C124" s="129"/>
      <c r="D124" s="206"/>
      <c r="E124" s="207" t="s">
        <v>67</v>
      </c>
      <c r="F124" s="208" t="e">
        <f>AVERAGE(F117:F122)</f>
        <v>#REF!</v>
      </c>
      <c r="G124" s="48"/>
    </row>
    <row r="125" spans="1:7" ht="27" customHeight="1" x14ac:dyDescent="0.4">
      <c r="A125" s="71" t="s">
        <v>118</v>
      </c>
      <c r="B125" s="209">
        <f>(B124/B123)*(B122/B121)*(B120/B119)*(B118/B117)*B116</f>
        <v>900</v>
      </c>
      <c r="C125" s="210"/>
      <c r="D125" s="211"/>
      <c r="E125" s="107" t="s">
        <v>80</v>
      </c>
      <c r="F125" s="144" t="e">
        <f>STDEV(F117:F122)/F124</f>
        <v>#REF!</v>
      </c>
      <c r="G125" s="48"/>
    </row>
    <row r="126" spans="1:7" ht="27" customHeight="1" x14ac:dyDescent="0.4">
      <c r="A126" s="411" t="s">
        <v>74</v>
      </c>
      <c r="B126" s="412"/>
      <c r="C126" s="212"/>
      <c r="D126" s="213"/>
      <c r="E126" s="214" t="s">
        <v>20</v>
      </c>
      <c r="F126" s="215">
        <f>COUNT(F117:F122)</f>
        <v>0</v>
      </c>
      <c r="G126" s="48"/>
    </row>
    <row r="127" spans="1:7" ht="19.5" customHeight="1" x14ac:dyDescent="0.3">
      <c r="A127" s="413"/>
      <c r="B127" s="414"/>
      <c r="C127" s="149"/>
      <c r="D127" s="149"/>
      <c r="E127" s="149"/>
      <c r="F127" s="205"/>
      <c r="G127" s="149"/>
    </row>
    <row r="128" spans="1:7" ht="18.75" customHeight="1" x14ac:dyDescent="0.3">
      <c r="A128" s="67"/>
      <c r="B128" s="67"/>
      <c r="C128" s="149"/>
      <c r="D128" s="149"/>
      <c r="E128" s="149"/>
      <c r="F128" s="205"/>
      <c r="G128" s="149"/>
    </row>
    <row r="129" spans="1:7" ht="18.75" customHeight="1" x14ac:dyDescent="0.3">
      <c r="A129" s="58" t="s">
        <v>92</v>
      </c>
      <c r="B129" s="151" t="s">
        <v>119</v>
      </c>
      <c r="C129" s="415" t="str">
        <f>B20</f>
        <v>Betahistine Dihydrochloride BP 16mg</v>
      </c>
      <c r="D129" s="415"/>
      <c r="E129" s="152" t="s">
        <v>120</v>
      </c>
      <c r="F129" s="152"/>
      <c r="G129" s="155" t="e">
        <f>F124</f>
        <v>#REF!</v>
      </c>
    </row>
    <row r="130" spans="1:7" ht="19.5" customHeight="1" x14ac:dyDescent="0.3">
      <c r="A130" s="216"/>
      <c r="B130" s="216"/>
      <c r="C130" s="217"/>
      <c r="D130" s="217"/>
      <c r="E130" s="217"/>
      <c r="F130" s="217"/>
      <c r="G130" s="217"/>
    </row>
    <row r="131" spans="1:7" ht="18.75" customHeight="1" x14ac:dyDescent="0.3">
      <c r="A131" s="48"/>
      <c r="B131" s="406" t="s">
        <v>23</v>
      </c>
      <c r="C131" s="406"/>
      <c r="D131" s="48"/>
      <c r="E131" s="218" t="s">
        <v>24</v>
      </c>
      <c r="F131" s="219"/>
      <c r="G131" s="226" t="s">
        <v>25</v>
      </c>
    </row>
    <row r="132" spans="1:7" ht="60" customHeight="1" x14ac:dyDescent="0.3">
      <c r="A132" s="220" t="s">
        <v>26</v>
      </c>
      <c r="B132" s="221"/>
      <c r="C132" s="221"/>
      <c r="D132" s="48"/>
      <c r="E132" s="221"/>
      <c r="F132" s="149"/>
      <c r="G132" s="222"/>
    </row>
    <row r="133" spans="1:7" ht="60" customHeight="1" x14ac:dyDescent="0.3">
      <c r="A133" s="220" t="s">
        <v>27</v>
      </c>
      <c r="B133" s="223"/>
      <c r="C133" s="223"/>
      <c r="D133" s="48"/>
      <c r="E133" s="223"/>
      <c r="F133" s="149"/>
      <c r="G133" s="22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2" manualBreakCount="2">
    <brk id="25" max="16383" man="1"/>
    <brk id="84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1" zoomScale="5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32" customWidth="1"/>
    <col min="2" max="2" width="33.7109375" style="232" customWidth="1"/>
    <col min="3" max="3" width="42.28515625" style="232" customWidth="1"/>
    <col min="4" max="4" width="30.5703125" style="232" customWidth="1"/>
    <col min="5" max="5" width="39.85546875" style="232" customWidth="1"/>
    <col min="6" max="6" width="30.7109375" style="232" customWidth="1"/>
    <col min="7" max="7" width="39.85546875" style="232" customWidth="1"/>
    <col min="8" max="8" width="30" style="232" customWidth="1"/>
    <col min="9" max="9" width="30.28515625" style="232" hidden="1" customWidth="1"/>
    <col min="10" max="10" width="30.42578125" style="232" customWidth="1"/>
    <col min="11" max="11" width="21.28515625" style="232" customWidth="1"/>
    <col min="12" max="12" width="9.140625" style="232"/>
    <col min="13" max="16384" width="9.140625" style="233"/>
  </cols>
  <sheetData>
    <row r="1" spans="1:9" ht="18.75" customHeight="1" x14ac:dyDescent="0.25">
      <c r="A1" s="461" t="s">
        <v>42</v>
      </c>
      <c r="B1" s="461"/>
      <c r="C1" s="461"/>
      <c r="D1" s="461"/>
      <c r="E1" s="461"/>
      <c r="F1" s="461"/>
      <c r="G1" s="461"/>
      <c r="H1" s="461"/>
      <c r="I1" s="461"/>
    </row>
    <row r="2" spans="1:9" ht="18.75" customHeight="1" x14ac:dyDescent="0.25">
      <c r="A2" s="461"/>
      <c r="B2" s="461"/>
      <c r="C2" s="461"/>
      <c r="D2" s="461"/>
      <c r="E2" s="461"/>
      <c r="F2" s="461"/>
      <c r="G2" s="461"/>
      <c r="H2" s="461"/>
      <c r="I2" s="461"/>
    </row>
    <row r="3" spans="1:9" ht="18.75" customHeight="1" x14ac:dyDescent="0.25">
      <c r="A3" s="461"/>
      <c r="B3" s="461"/>
      <c r="C3" s="461"/>
      <c r="D3" s="461"/>
      <c r="E3" s="461"/>
      <c r="F3" s="461"/>
      <c r="G3" s="461"/>
      <c r="H3" s="461"/>
      <c r="I3" s="461"/>
    </row>
    <row r="4" spans="1:9" ht="18.75" customHeight="1" x14ac:dyDescent="0.25">
      <c r="A4" s="461"/>
      <c r="B4" s="461"/>
      <c r="C4" s="461"/>
      <c r="D4" s="461"/>
      <c r="E4" s="461"/>
      <c r="F4" s="461"/>
      <c r="G4" s="461"/>
      <c r="H4" s="461"/>
      <c r="I4" s="461"/>
    </row>
    <row r="5" spans="1:9" ht="18.75" customHeight="1" x14ac:dyDescent="0.25">
      <c r="A5" s="461"/>
      <c r="B5" s="461"/>
      <c r="C5" s="461"/>
      <c r="D5" s="461"/>
      <c r="E5" s="461"/>
      <c r="F5" s="461"/>
      <c r="G5" s="461"/>
      <c r="H5" s="461"/>
      <c r="I5" s="461"/>
    </row>
    <row r="6" spans="1:9" ht="18.75" customHeight="1" x14ac:dyDescent="0.25">
      <c r="A6" s="461"/>
      <c r="B6" s="461"/>
      <c r="C6" s="461"/>
      <c r="D6" s="461"/>
      <c r="E6" s="461"/>
      <c r="F6" s="461"/>
      <c r="G6" s="461"/>
      <c r="H6" s="461"/>
      <c r="I6" s="461"/>
    </row>
    <row r="7" spans="1:9" ht="18.75" customHeight="1" x14ac:dyDescent="0.25">
      <c r="A7" s="461"/>
      <c r="B7" s="461"/>
      <c r="C7" s="461"/>
      <c r="D7" s="461"/>
      <c r="E7" s="461"/>
      <c r="F7" s="461"/>
      <c r="G7" s="461"/>
      <c r="H7" s="461"/>
      <c r="I7" s="461"/>
    </row>
    <row r="8" spans="1:9" x14ac:dyDescent="0.25">
      <c r="A8" s="462" t="s">
        <v>43</v>
      </c>
      <c r="B8" s="462"/>
      <c r="C8" s="462"/>
      <c r="D8" s="462"/>
      <c r="E8" s="462"/>
      <c r="F8" s="462"/>
      <c r="G8" s="462"/>
      <c r="H8" s="462"/>
      <c r="I8" s="462"/>
    </row>
    <row r="9" spans="1:9" x14ac:dyDescent="0.25">
      <c r="A9" s="462"/>
      <c r="B9" s="462"/>
      <c r="C9" s="462"/>
      <c r="D9" s="462"/>
      <c r="E9" s="462"/>
      <c r="F9" s="462"/>
      <c r="G9" s="462"/>
      <c r="H9" s="462"/>
      <c r="I9" s="462"/>
    </row>
    <row r="10" spans="1:9" x14ac:dyDescent="0.25">
      <c r="A10" s="462"/>
      <c r="B10" s="462"/>
      <c r="C10" s="462"/>
      <c r="D10" s="462"/>
      <c r="E10" s="462"/>
      <c r="F10" s="462"/>
      <c r="G10" s="462"/>
      <c r="H10" s="462"/>
      <c r="I10" s="462"/>
    </row>
    <row r="11" spans="1:9" x14ac:dyDescent="0.25">
      <c r="A11" s="462"/>
      <c r="B11" s="462"/>
      <c r="C11" s="462"/>
      <c r="D11" s="462"/>
      <c r="E11" s="462"/>
      <c r="F11" s="462"/>
      <c r="G11" s="462"/>
      <c r="H11" s="462"/>
      <c r="I11" s="462"/>
    </row>
    <row r="12" spans="1:9" x14ac:dyDescent="0.25">
      <c r="A12" s="462"/>
      <c r="B12" s="462"/>
      <c r="C12" s="462"/>
      <c r="D12" s="462"/>
      <c r="E12" s="462"/>
      <c r="F12" s="462"/>
      <c r="G12" s="462"/>
      <c r="H12" s="462"/>
      <c r="I12" s="462"/>
    </row>
    <row r="13" spans="1:9" x14ac:dyDescent="0.25">
      <c r="A13" s="462"/>
      <c r="B13" s="462"/>
      <c r="C13" s="462"/>
      <c r="D13" s="462"/>
      <c r="E13" s="462"/>
      <c r="F13" s="462"/>
      <c r="G13" s="462"/>
      <c r="H13" s="462"/>
      <c r="I13" s="462"/>
    </row>
    <row r="14" spans="1:9" x14ac:dyDescent="0.25">
      <c r="A14" s="462"/>
      <c r="B14" s="462"/>
      <c r="C14" s="462"/>
      <c r="D14" s="462"/>
      <c r="E14" s="462"/>
      <c r="F14" s="462"/>
      <c r="G14" s="462"/>
      <c r="H14" s="462"/>
      <c r="I14" s="462"/>
    </row>
    <row r="15" spans="1:9" ht="19.5" customHeight="1" thickBot="1" x14ac:dyDescent="0.35">
      <c r="A15" s="234"/>
    </row>
    <row r="16" spans="1:9" ht="19.5" customHeight="1" thickBot="1" x14ac:dyDescent="0.35">
      <c r="A16" s="463" t="s">
        <v>28</v>
      </c>
      <c r="B16" s="464"/>
      <c r="C16" s="464"/>
      <c r="D16" s="464"/>
      <c r="E16" s="464"/>
      <c r="F16" s="464"/>
      <c r="G16" s="464"/>
      <c r="H16" s="465"/>
    </row>
    <row r="17" spans="1:14" ht="20.25" customHeight="1" x14ac:dyDescent="0.25">
      <c r="A17" s="466" t="s">
        <v>44</v>
      </c>
      <c r="B17" s="466"/>
      <c r="C17" s="466"/>
      <c r="D17" s="466"/>
      <c r="E17" s="466"/>
      <c r="F17" s="466"/>
      <c r="G17" s="466"/>
      <c r="H17" s="466"/>
    </row>
    <row r="18" spans="1:14" ht="26.25" customHeight="1" x14ac:dyDescent="0.4">
      <c r="A18" s="235" t="s">
        <v>30</v>
      </c>
      <c r="B18" s="420" t="s">
        <v>5</v>
      </c>
      <c r="C18" s="420"/>
      <c r="D18" s="236"/>
      <c r="E18" s="237"/>
      <c r="F18" s="238"/>
      <c r="G18" s="238"/>
      <c r="H18" s="238"/>
    </row>
    <row r="19" spans="1:14" ht="26.25" customHeight="1" x14ac:dyDescent="0.4">
      <c r="A19" s="235" t="s">
        <v>31</v>
      </c>
      <c r="B19" s="228" t="s">
        <v>7</v>
      </c>
      <c r="C19" s="238">
        <v>1</v>
      </c>
      <c r="D19" s="238"/>
      <c r="E19" s="238"/>
      <c r="F19" s="238"/>
      <c r="G19" s="238"/>
      <c r="H19" s="238"/>
    </row>
    <row r="20" spans="1:14" ht="26.25" customHeight="1" x14ac:dyDescent="0.4">
      <c r="A20" s="235" t="s">
        <v>32</v>
      </c>
      <c r="B20" s="421" t="s">
        <v>9</v>
      </c>
      <c r="C20" s="421"/>
      <c r="D20" s="238"/>
      <c r="E20" s="238"/>
      <c r="F20" s="238"/>
      <c r="G20" s="238"/>
      <c r="H20" s="238"/>
    </row>
    <row r="21" spans="1:14" ht="26.25" customHeight="1" x14ac:dyDescent="0.4">
      <c r="A21" s="235" t="s">
        <v>33</v>
      </c>
      <c r="B21" s="467" t="s">
        <v>153</v>
      </c>
      <c r="C21" s="467"/>
      <c r="D21" s="467"/>
      <c r="E21" s="467"/>
      <c r="F21" s="467"/>
      <c r="G21" s="467"/>
      <c r="H21" s="467"/>
      <c r="I21" s="239"/>
    </row>
    <row r="22" spans="1:14" ht="26.25" customHeight="1" x14ac:dyDescent="0.4">
      <c r="A22" s="235" t="s">
        <v>34</v>
      </c>
      <c r="B22" s="240" t="s">
        <v>123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5" t="s">
        <v>35</v>
      </c>
      <c r="B23" s="240" t="s">
        <v>124</v>
      </c>
      <c r="C23" s="238"/>
      <c r="D23" s="238"/>
      <c r="E23" s="238"/>
      <c r="F23" s="238"/>
      <c r="G23" s="238"/>
      <c r="H23" s="238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420" t="s">
        <v>121</v>
      </c>
      <c r="C26" s="420"/>
    </row>
    <row r="27" spans="1:14" ht="26.25" customHeight="1" x14ac:dyDescent="0.4">
      <c r="A27" s="244" t="s">
        <v>45</v>
      </c>
      <c r="B27" s="440" t="s">
        <v>122</v>
      </c>
      <c r="C27" s="468"/>
    </row>
    <row r="28" spans="1:14" ht="27" customHeight="1" thickBot="1" x14ac:dyDescent="0.45">
      <c r="A28" s="244" t="s">
        <v>6</v>
      </c>
      <c r="B28" s="245">
        <v>99.5</v>
      </c>
    </row>
    <row r="29" spans="1:14" s="247" customFormat="1" ht="27" customHeight="1" thickBot="1" x14ac:dyDescent="0.45">
      <c r="A29" s="244" t="s">
        <v>46</v>
      </c>
      <c r="B29" s="246">
        <v>0</v>
      </c>
      <c r="C29" s="441" t="s">
        <v>103</v>
      </c>
      <c r="D29" s="442"/>
      <c r="E29" s="442"/>
      <c r="F29" s="442"/>
      <c r="G29" s="443"/>
      <c r="I29" s="248"/>
      <c r="J29" s="248"/>
      <c r="K29" s="248"/>
      <c r="L29" s="248"/>
    </row>
    <row r="30" spans="1:14" s="247" customFormat="1" ht="19.5" customHeight="1" thickBot="1" x14ac:dyDescent="0.35">
      <c r="A30" s="244" t="s">
        <v>48</v>
      </c>
      <c r="B30" s="249">
        <f>B28-B29</f>
        <v>99.5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247" customFormat="1" ht="27" customHeight="1" thickBot="1" x14ac:dyDescent="0.45">
      <c r="A31" s="244" t="s">
        <v>49</v>
      </c>
      <c r="B31" s="252">
        <v>1</v>
      </c>
      <c r="C31" s="444" t="s">
        <v>50</v>
      </c>
      <c r="D31" s="445"/>
      <c r="E31" s="445"/>
      <c r="F31" s="445"/>
      <c r="G31" s="445"/>
      <c r="H31" s="446"/>
      <c r="I31" s="248"/>
      <c r="J31" s="248"/>
      <c r="K31" s="248"/>
      <c r="L31" s="248"/>
    </row>
    <row r="32" spans="1:14" s="247" customFormat="1" ht="27" customHeight="1" thickBot="1" x14ac:dyDescent="0.45">
      <c r="A32" s="244" t="s">
        <v>51</v>
      </c>
      <c r="B32" s="252">
        <v>1</v>
      </c>
      <c r="C32" s="444" t="s">
        <v>52</v>
      </c>
      <c r="D32" s="445"/>
      <c r="E32" s="445"/>
      <c r="F32" s="445"/>
      <c r="G32" s="445"/>
      <c r="H32" s="446"/>
      <c r="I32" s="248"/>
      <c r="J32" s="248"/>
      <c r="K32" s="248"/>
      <c r="L32" s="253"/>
      <c r="M32" s="253"/>
      <c r="N32" s="254"/>
    </row>
    <row r="33" spans="1:14" s="247" customFormat="1" ht="17.25" customHeight="1" x14ac:dyDescent="0.3">
      <c r="A33" s="244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247" customFormat="1" ht="18.75" x14ac:dyDescent="0.3">
      <c r="A34" s="244" t="s">
        <v>53</v>
      </c>
      <c r="B34" s="257">
        <f>B31/B32</f>
        <v>1</v>
      </c>
      <c r="C34" s="234" t="s">
        <v>54</v>
      </c>
      <c r="D34" s="234"/>
      <c r="E34" s="234"/>
      <c r="F34" s="234"/>
      <c r="G34" s="234"/>
      <c r="I34" s="248"/>
      <c r="J34" s="248"/>
      <c r="K34" s="248"/>
      <c r="L34" s="253"/>
      <c r="M34" s="253"/>
      <c r="N34" s="254"/>
    </row>
    <row r="35" spans="1:14" s="247" customFormat="1" ht="19.5" customHeight="1" thickBot="1" x14ac:dyDescent="0.35">
      <c r="A35" s="244"/>
      <c r="B35" s="249"/>
      <c r="G35" s="234"/>
      <c r="I35" s="248"/>
      <c r="J35" s="248"/>
      <c r="K35" s="248"/>
      <c r="L35" s="253"/>
      <c r="M35" s="253"/>
      <c r="N35" s="254"/>
    </row>
    <row r="36" spans="1:14" s="247" customFormat="1" ht="27" customHeight="1" thickBot="1" x14ac:dyDescent="0.45">
      <c r="A36" s="258" t="s">
        <v>126</v>
      </c>
      <c r="B36" s="259">
        <v>50</v>
      </c>
      <c r="C36" s="234"/>
      <c r="D36" s="447" t="s">
        <v>56</v>
      </c>
      <c r="E36" s="449"/>
      <c r="F36" s="447" t="s">
        <v>57</v>
      </c>
      <c r="G36" s="448"/>
      <c r="J36" s="248"/>
      <c r="K36" s="248"/>
      <c r="L36" s="253"/>
      <c r="M36" s="253"/>
      <c r="N36" s="254"/>
    </row>
    <row r="37" spans="1:14" s="247" customFormat="1" ht="27" customHeight="1" thickBot="1" x14ac:dyDescent="0.45">
      <c r="A37" s="260" t="s">
        <v>58</v>
      </c>
      <c r="B37" s="261">
        <v>1</v>
      </c>
      <c r="C37" s="262" t="s">
        <v>59</v>
      </c>
      <c r="D37" s="263" t="s">
        <v>60</v>
      </c>
      <c r="E37" s="264" t="s">
        <v>61</v>
      </c>
      <c r="F37" s="263" t="s">
        <v>60</v>
      </c>
      <c r="G37" s="265" t="s">
        <v>61</v>
      </c>
      <c r="I37" s="266" t="s">
        <v>127</v>
      </c>
      <c r="J37" s="248"/>
      <c r="K37" s="248"/>
      <c r="L37" s="253"/>
      <c r="M37" s="253"/>
      <c r="N37" s="254"/>
    </row>
    <row r="38" spans="1:14" s="247" customFormat="1" ht="26.25" customHeight="1" x14ac:dyDescent="0.4">
      <c r="A38" s="260" t="s">
        <v>62</v>
      </c>
      <c r="B38" s="261">
        <v>1</v>
      </c>
      <c r="C38" s="267">
        <v>1</v>
      </c>
      <c r="D38" s="268">
        <v>69730883</v>
      </c>
      <c r="E38" s="269">
        <f>IF(ISBLANK(D38),"-",$D$48/$D$45*D38)</f>
        <v>64110956.612680338</v>
      </c>
      <c r="F38" s="268">
        <v>63600538</v>
      </c>
      <c r="G38" s="270">
        <f>IF(ISBLANK(F38),"-",$D$48/$F$45*F38)</f>
        <v>62475395.179931417</v>
      </c>
      <c r="I38" s="271"/>
      <c r="J38" s="248"/>
      <c r="K38" s="248"/>
      <c r="L38" s="253"/>
      <c r="M38" s="253"/>
      <c r="N38" s="254"/>
    </row>
    <row r="39" spans="1:14" s="247" customFormat="1" ht="26.25" customHeight="1" x14ac:dyDescent="0.4">
      <c r="A39" s="260" t="s">
        <v>63</v>
      </c>
      <c r="B39" s="261">
        <v>1</v>
      </c>
      <c r="C39" s="272">
        <v>2</v>
      </c>
      <c r="D39" s="273">
        <v>69267502</v>
      </c>
      <c r="E39" s="274">
        <f>IF(ISBLANK(D39),"-",$D$48/$D$45*D39)</f>
        <v>63684921.577584907</v>
      </c>
      <c r="F39" s="273">
        <v>63800706</v>
      </c>
      <c r="G39" s="275">
        <f>IF(ISBLANK(F39),"-",$D$48/$F$45*F39)</f>
        <v>62672022.052842095</v>
      </c>
      <c r="I39" s="429">
        <f>ABS((F43/D43*D42)-F42)/D42</f>
        <v>1.4823534987472561E-2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64</v>
      </c>
      <c r="B40" s="261">
        <v>1</v>
      </c>
      <c r="C40" s="272">
        <v>3</v>
      </c>
      <c r="D40" s="273">
        <v>69208659</v>
      </c>
      <c r="E40" s="274">
        <f>IF(ISBLANK(D40),"-",$D$48/$D$45*D40)</f>
        <v>63630821.000370644</v>
      </c>
      <c r="F40" s="273">
        <v>64386566</v>
      </c>
      <c r="G40" s="275">
        <f>IF(ISBLANK(F40),"-",$D$48/$F$45*F40)</f>
        <v>63247517.735286079</v>
      </c>
      <c r="I40" s="429"/>
      <c r="L40" s="253"/>
      <c r="M40" s="253"/>
      <c r="N40" s="234"/>
    </row>
    <row r="41" spans="1:14" ht="27" customHeight="1" thickBot="1" x14ac:dyDescent="0.45">
      <c r="A41" s="260" t="s">
        <v>65</v>
      </c>
      <c r="B41" s="261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3"/>
      <c r="M41" s="253"/>
      <c r="N41" s="234"/>
    </row>
    <row r="42" spans="1:14" ht="27" customHeight="1" thickBot="1" x14ac:dyDescent="0.45">
      <c r="A42" s="260" t="s">
        <v>66</v>
      </c>
      <c r="B42" s="261">
        <v>1</v>
      </c>
      <c r="C42" s="281" t="s">
        <v>67</v>
      </c>
      <c r="D42" s="282">
        <f>AVERAGE(D38:D41)</f>
        <v>69402348</v>
      </c>
      <c r="E42" s="283">
        <f>AVERAGE(E38:E41)</f>
        <v>63808899.730211966</v>
      </c>
      <c r="F42" s="282">
        <f>AVERAGE(F38:F41)</f>
        <v>63929270</v>
      </c>
      <c r="G42" s="284">
        <f>AVERAGE(G38:G41)</f>
        <v>62798311.656019866</v>
      </c>
      <c r="H42" s="285"/>
    </row>
    <row r="43" spans="1:14" ht="26.25" customHeight="1" x14ac:dyDescent="0.4">
      <c r="A43" s="260" t="s">
        <v>68</v>
      </c>
      <c r="B43" s="261">
        <v>1</v>
      </c>
      <c r="C43" s="286" t="s">
        <v>128</v>
      </c>
      <c r="D43" s="287">
        <v>17.489999999999998</v>
      </c>
      <c r="E43" s="234"/>
      <c r="F43" s="287">
        <v>16.37</v>
      </c>
      <c r="H43" s="285"/>
    </row>
    <row r="44" spans="1:14" ht="26.25" customHeight="1" x14ac:dyDescent="0.4">
      <c r="A44" s="260" t="s">
        <v>70</v>
      </c>
      <c r="B44" s="261">
        <v>1</v>
      </c>
      <c r="C44" s="288" t="s">
        <v>129</v>
      </c>
      <c r="D44" s="289">
        <f>D43*$B$34</f>
        <v>17.489999999999998</v>
      </c>
      <c r="E44" s="290"/>
      <c r="F44" s="289">
        <f>F43*$B$34</f>
        <v>16.37</v>
      </c>
      <c r="H44" s="285"/>
    </row>
    <row r="45" spans="1:14" ht="19.5" customHeight="1" thickBot="1" x14ac:dyDescent="0.35">
      <c r="A45" s="260" t="s">
        <v>72</v>
      </c>
      <c r="B45" s="272">
        <f>(B44/B43)*(B42/B41)*(B40/B39)*(B38/B37)*B36</f>
        <v>50</v>
      </c>
      <c r="C45" s="288" t="s">
        <v>73</v>
      </c>
      <c r="D45" s="291">
        <f>D44*$B$30/100</f>
        <v>17.402549999999998</v>
      </c>
      <c r="E45" s="292"/>
      <c r="F45" s="291">
        <f>F44*$B$30/100</f>
        <v>16.288150000000002</v>
      </c>
      <c r="H45" s="285"/>
    </row>
    <row r="46" spans="1:14" ht="19.5" customHeight="1" thickBot="1" x14ac:dyDescent="0.35">
      <c r="A46" s="430" t="s">
        <v>74</v>
      </c>
      <c r="B46" s="434"/>
      <c r="C46" s="288" t="s">
        <v>75</v>
      </c>
      <c r="D46" s="293">
        <f>D45/$B$45</f>
        <v>0.34805099999999994</v>
      </c>
      <c r="E46" s="294"/>
      <c r="F46" s="295">
        <f>F45/$B$45</f>
        <v>0.32576300000000002</v>
      </c>
      <c r="H46" s="285"/>
    </row>
    <row r="47" spans="1:14" ht="27" customHeight="1" thickBot="1" x14ac:dyDescent="0.45">
      <c r="A47" s="432"/>
      <c r="B47" s="435"/>
      <c r="C47" s="296" t="s">
        <v>130</v>
      </c>
      <c r="D47" s="297">
        <v>0.32</v>
      </c>
      <c r="E47" s="298"/>
      <c r="F47" s="294"/>
      <c r="H47" s="285"/>
    </row>
    <row r="48" spans="1:14" ht="18.75" x14ac:dyDescent="0.3">
      <c r="C48" s="299" t="s">
        <v>77</v>
      </c>
      <c r="D48" s="291">
        <f>D47*$B$45</f>
        <v>16</v>
      </c>
      <c r="F48" s="300"/>
      <c r="H48" s="285"/>
    </row>
    <row r="49" spans="1:12" ht="19.5" customHeight="1" thickBot="1" x14ac:dyDescent="0.35">
      <c r="C49" s="301" t="s">
        <v>78</v>
      </c>
      <c r="D49" s="302">
        <f>D48/B34</f>
        <v>16</v>
      </c>
      <c r="F49" s="300"/>
      <c r="H49" s="285"/>
    </row>
    <row r="50" spans="1:12" ht="18.75" x14ac:dyDescent="0.3">
      <c r="C50" s="258" t="s">
        <v>79</v>
      </c>
      <c r="D50" s="303">
        <f>AVERAGE(E38:E41,G38:G41)</f>
        <v>63303605.693115912</v>
      </c>
      <c r="F50" s="304"/>
      <c r="H50" s="285"/>
    </row>
    <row r="51" spans="1:12" ht="18.75" x14ac:dyDescent="0.3">
      <c r="C51" s="260" t="s">
        <v>80</v>
      </c>
      <c r="D51" s="305">
        <f>STDEV(E38:E41,G38:G41)/D50</f>
        <v>9.9714874672075082E-3</v>
      </c>
      <c r="F51" s="304"/>
      <c r="H51" s="285"/>
    </row>
    <row r="52" spans="1:12" ht="19.5" customHeight="1" thickBot="1" x14ac:dyDescent="0.35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81</v>
      </c>
    </row>
    <row r="55" spans="1:12" ht="18.75" x14ac:dyDescent="0.3">
      <c r="A55" s="234" t="s">
        <v>82</v>
      </c>
      <c r="B55" s="310" t="str">
        <f>B21</f>
        <v>Each tablets contains betahistine dihydrochloride BP 16 mg</v>
      </c>
    </row>
    <row r="56" spans="1:12" ht="26.25" customHeight="1" x14ac:dyDescent="0.4">
      <c r="A56" s="310" t="s">
        <v>83</v>
      </c>
      <c r="B56" s="311">
        <v>16</v>
      </c>
      <c r="C56" s="234" t="str">
        <f>B20</f>
        <v>Betahistine Dihydrochloride BP 16mg</v>
      </c>
      <c r="H56" s="290"/>
    </row>
    <row r="57" spans="1:12" ht="18.75" x14ac:dyDescent="0.3">
      <c r="A57" s="310" t="s">
        <v>84</v>
      </c>
      <c r="B57" s="312">
        <f>[1]Uniformity!C46</f>
        <v>300.54450000000003</v>
      </c>
      <c r="H57" s="290"/>
    </row>
    <row r="58" spans="1:12" ht="19.5" customHeight="1" thickBot="1" x14ac:dyDescent="0.35">
      <c r="H58" s="290"/>
    </row>
    <row r="59" spans="1:12" s="247" customFormat="1" ht="27" customHeight="1" thickBot="1" x14ac:dyDescent="0.45">
      <c r="A59" s="258" t="s">
        <v>131</v>
      </c>
      <c r="B59" s="259">
        <v>100</v>
      </c>
      <c r="C59" s="234"/>
      <c r="D59" s="313" t="s">
        <v>132</v>
      </c>
      <c r="E59" s="314" t="s">
        <v>59</v>
      </c>
      <c r="F59" s="314" t="s">
        <v>60</v>
      </c>
      <c r="G59" s="314" t="s">
        <v>133</v>
      </c>
      <c r="H59" s="262" t="s">
        <v>134</v>
      </c>
      <c r="L59" s="248"/>
    </row>
    <row r="60" spans="1:12" s="247" customFormat="1" ht="26.25" customHeight="1" x14ac:dyDescent="0.4">
      <c r="A60" s="260" t="s">
        <v>135</v>
      </c>
      <c r="B60" s="261">
        <v>1</v>
      </c>
      <c r="C60" s="450" t="s">
        <v>136</v>
      </c>
      <c r="D60" s="453">
        <v>592.92999999999995</v>
      </c>
      <c r="E60" s="315">
        <v>1</v>
      </c>
      <c r="F60" s="316">
        <v>61666643</v>
      </c>
      <c r="G60" s="317">
        <f>IF(ISBLANK(F60),"-",(F60/$D$50*$D$47*$B$68)*($B$57/$D$60))</f>
        <v>15.80073167129482</v>
      </c>
      <c r="H60" s="318">
        <f t="shared" ref="H60:H71" si="0">IF(ISBLANK(F60),"-",(G60/$B$56)*100)</f>
        <v>98.754572945592628</v>
      </c>
      <c r="L60" s="248"/>
    </row>
    <row r="61" spans="1:12" s="247" customFormat="1" ht="26.25" customHeight="1" x14ac:dyDescent="0.4">
      <c r="A61" s="260" t="s">
        <v>111</v>
      </c>
      <c r="B61" s="261">
        <v>1</v>
      </c>
      <c r="C61" s="451"/>
      <c r="D61" s="454"/>
      <c r="E61" s="319">
        <v>2</v>
      </c>
      <c r="F61" s="273">
        <v>62083284</v>
      </c>
      <c r="G61" s="320">
        <f>IF(ISBLANK(F61),"-",(F61/$D$50*$D$47*$B$68)*($B$57/$D$60))</f>
        <v>15.907486836226695</v>
      </c>
      <c r="H61" s="321">
        <f t="shared" si="0"/>
        <v>99.42179272641684</v>
      </c>
      <c r="L61" s="248"/>
    </row>
    <row r="62" spans="1:12" s="247" customFormat="1" ht="26.25" customHeight="1" x14ac:dyDescent="0.4">
      <c r="A62" s="260" t="s">
        <v>112</v>
      </c>
      <c r="B62" s="261">
        <v>1</v>
      </c>
      <c r="C62" s="451"/>
      <c r="D62" s="454"/>
      <c r="E62" s="319">
        <v>3</v>
      </c>
      <c r="F62" s="322">
        <v>62338297</v>
      </c>
      <c r="G62" s="320">
        <f>IF(ISBLANK(F62),"-",(F62/$D$50*$D$47*$B$68)*($B$57/$D$60))</f>
        <v>15.972828352963578</v>
      </c>
      <c r="H62" s="321">
        <f t="shared" si="0"/>
        <v>99.83017720602237</v>
      </c>
      <c r="L62" s="248"/>
    </row>
    <row r="63" spans="1:12" ht="27" customHeight="1" thickBot="1" x14ac:dyDescent="0.45">
      <c r="A63" s="260" t="s">
        <v>113</v>
      </c>
      <c r="B63" s="261">
        <v>1</v>
      </c>
      <c r="C63" s="452"/>
      <c r="D63" s="455"/>
      <c r="E63" s="323">
        <v>4</v>
      </c>
      <c r="F63" s="324"/>
      <c r="G63" s="320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60" t="s">
        <v>114</v>
      </c>
      <c r="B64" s="261">
        <v>1</v>
      </c>
      <c r="C64" s="450" t="s">
        <v>137</v>
      </c>
      <c r="D64" s="453">
        <v>602.34</v>
      </c>
      <c r="E64" s="315">
        <v>1</v>
      </c>
      <c r="F64" s="316">
        <v>63497106</v>
      </c>
      <c r="G64" s="317">
        <f>IF(ISBLANK(F64),"-",(F64/$D$50*$D$47*$B$68)*($B$57/$D$64))</f>
        <v>16.015575267428247</v>
      </c>
      <c r="H64" s="318">
        <f t="shared" si="0"/>
        <v>100.09734542142654</v>
      </c>
    </row>
    <row r="65" spans="1:8" ht="26.25" customHeight="1" x14ac:dyDescent="0.4">
      <c r="A65" s="260" t="s">
        <v>115</v>
      </c>
      <c r="B65" s="261">
        <v>1</v>
      </c>
      <c r="C65" s="451"/>
      <c r="D65" s="454"/>
      <c r="E65" s="319">
        <v>2</v>
      </c>
      <c r="F65" s="273">
        <v>63673357</v>
      </c>
      <c r="G65" s="320">
        <f>IF(ISBLANK(F65),"-",(F65/$D$50*$D$47*$B$68)*($B$57/$D$64))</f>
        <v>16.060030225051975</v>
      </c>
      <c r="H65" s="321">
        <f t="shared" si="0"/>
        <v>100.37518890657483</v>
      </c>
    </row>
    <row r="66" spans="1:8" ht="26.25" customHeight="1" x14ac:dyDescent="0.4">
      <c r="A66" s="260" t="s">
        <v>116</v>
      </c>
      <c r="B66" s="261">
        <v>1</v>
      </c>
      <c r="C66" s="451"/>
      <c r="D66" s="454"/>
      <c r="E66" s="319">
        <v>3</v>
      </c>
      <c r="F66" s="273">
        <v>63944449</v>
      </c>
      <c r="G66" s="320">
        <f>IF(ISBLANK(F66),"-",(F66/$D$50*$D$47*$B$68)*($B$57/$D$64))</f>
        <v>16.128406480347728</v>
      </c>
      <c r="H66" s="321">
        <f t="shared" si="0"/>
        <v>100.8025405021733</v>
      </c>
    </row>
    <row r="67" spans="1:8" ht="27" customHeight="1" thickBot="1" x14ac:dyDescent="0.45">
      <c r="A67" s="260" t="s">
        <v>117</v>
      </c>
      <c r="B67" s="261">
        <v>1</v>
      </c>
      <c r="C67" s="452"/>
      <c r="D67" s="455"/>
      <c r="E67" s="323">
        <v>4</v>
      </c>
      <c r="F67" s="324"/>
      <c r="G67" s="325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60" t="s">
        <v>118</v>
      </c>
      <c r="B68" s="327">
        <f>(B67/B66)*(B65/B64)*(B63/B62)*(B61/B60)*B59</f>
        <v>100</v>
      </c>
      <c r="C68" s="450" t="s">
        <v>138</v>
      </c>
      <c r="D68" s="453">
        <v>612.63</v>
      </c>
      <c r="E68" s="315">
        <v>1</v>
      </c>
      <c r="F68" s="316">
        <v>64797095</v>
      </c>
      <c r="G68" s="317">
        <f>IF(ISBLANK(F68),"-",(F68/$D$50*$D$47*$B$68)*($B$57/$D$68))</f>
        <v>16.068953401253498</v>
      </c>
      <c r="H68" s="321">
        <f t="shared" si="0"/>
        <v>100.43095875783436</v>
      </c>
    </row>
    <row r="69" spans="1:8" ht="27" customHeight="1" thickBot="1" x14ac:dyDescent="0.45">
      <c r="A69" s="306" t="s">
        <v>139</v>
      </c>
      <c r="B69" s="328">
        <f>(D47*B68)/B56*B57</f>
        <v>601.08900000000006</v>
      </c>
      <c r="C69" s="451"/>
      <c r="D69" s="454"/>
      <c r="E69" s="319">
        <v>2</v>
      </c>
      <c r="F69" s="273">
        <v>65746348</v>
      </c>
      <c r="G69" s="320">
        <f>IF(ISBLANK(F69),"-",(F69/$D$50*$D$47*$B$68)*($B$57/$D$68))</f>
        <v>16.304357507301773</v>
      </c>
      <c r="H69" s="321">
        <f t="shared" si="0"/>
        <v>101.90223442063609</v>
      </c>
    </row>
    <row r="70" spans="1:8" ht="26.25" customHeight="1" x14ac:dyDescent="0.4">
      <c r="A70" s="457" t="s">
        <v>74</v>
      </c>
      <c r="B70" s="458"/>
      <c r="C70" s="451"/>
      <c r="D70" s="454"/>
      <c r="E70" s="319">
        <v>3</v>
      </c>
      <c r="F70" s="273">
        <v>65882399</v>
      </c>
      <c r="G70" s="320">
        <f>IF(ISBLANK(F70),"-",(F70/$D$50*$D$47*$B$68)*($B$57/$D$68))</f>
        <v>16.338096630625031</v>
      </c>
      <c r="H70" s="321">
        <f t="shared" si="0"/>
        <v>102.11310394140645</v>
      </c>
    </row>
    <row r="71" spans="1:8" ht="27" customHeight="1" thickBot="1" x14ac:dyDescent="0.45">
      <c r="A71" s="459"/>
      <c r="B71" s="460"/>
      <c r="C71" s="456"/>
      <c r="D71" s="455"/>
      <c r="E71" s="323">
        <v>4</v>
      </c>
      <c r="F71" s="324"/>
      <c r="G71" s="325" t="str">
        <f>IF(ISBLANK(F71),"-",(F71/$D$50*$D$47*$B$68)*($B$57/$D$68))</f>
        <v>-</v>
      </c>
      <c r="H71" s="326" t="str">
        <f t="shared" si="0"/>
        <v>-</v>
      </c>
    </row>
    <row r="72" spans="1:8" ht="26.25" customHeight="1" x14ac:dyDescent="0.4">
      <c r="A72" s="290"/>
      <c r="B72" s="290"/>
      <c r="C72" s="290"/>
      <c r="D72" s="290"/>
      <c r="E72" s="290"/>
      <c r="F72" s="329" t="s">
        <v>67</v>
      </c>
      <c r="G72" s="330">
        <f>AVERAGE(G60:G71)</f>
        <v>16.066274041388152</v>
      </c>
      <c r="H72" s="331">
        <f>AVERAGE(H60:H71)</f>
        <v>100.41421275867593</v>
      </c>
    </row>
    <row r="73" spans="1:8" ht="26.25" customHeight="1" x14ac:dyDescent="0.4">
      <c r="C73" s="290"/>
      <c r="D73" s="290"/>
      <c r="E73" s="290"/>
      <c r="F73" s="332" t="s">
        <v>80</v>
      </c>
      <c r="G73" s="333">
        <f>STDEV(G60:G71)/G72</f>
        <v>1.0814444178712027E-2</v>
      </c>
      <c r="H73" s="333">
        <f>STDEV(H60:H71)/H72</f>
        <v>1.0814444178712046E-2</v>
      </c>
    </row>
    <row r="74" spans="1:8" ht="27" customHeight="1" thickBot="1" x14ac:dyDescent="0.45">
      <c r="A74" s="290"/>
      <c r="B74" s="290"/>
      <c r="C74" s="290"/>
      <c r="D74" s="290"/>
      <c r="E74" s="292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3" t="s">
        <v>140</v>
      </c>
      <c r="B76" s="244" t="s">
        <v>93</v>
      </c>
      <c r="C76" s="438" t="str">
        <f>B26</f>
        <v>Betahistine Dihydrochloride</v>
      </c>
      <c r="D76" s="438"/>
      <c r="E76" s="234" t="s">
        <v>94</v>
      </c>
      <c r="F76" s="234"/>
      <c r="G76" s="336">
        <f>H72</f>
        <v>100.41421275867593</v>
      </c>
      <c r="H76" s="249"/>
    </row>
    <row r="77" spans="1:8" ht="18.75" x14ac:dyDescent="0.3">
      <c r="A77" s="242" t="s">
        <v>101</v>
      </c>
      <c r="B77" s="242" t="s">
        <v>102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440" t="str">
        <f>B26</f>
        <v>Betahistine Dihydrochloride</v>
      </c>
      <c r="C79" s="440"/>
    </row>
    <row r="80" spans="1:8" ht="26.25" customHeight="1" x14ac:dyDescent="0.4">
      <c r="A80" s="244" t="s">
        <v>45</v>
      </c>
      <c r="B80" s="440" t="str">
        <f>B27</f>
        <v>B17-2</v>
      </c>
      <c r="C80" s="440"/>
    </row>
    <row r="81" spans="1:12" ht="27" customHeight="1" thickBot="1" x14ac:dyDescent="0.45">
      <c r="A81" s="244" t="s">
        <v>6</v>
      </c>
      <c r="B81" s="245">
        <f>B28</f>
        <v>99.5</v>
      </c>
    </row>
    <row r="82" spans="1:12" s="247" customFormat="1" ht="27" customHeight="1" thickBot="1" x14ac:dyDescent="0.45">
      <c r="A82" s="244" t="s">
        <v>46</v>
      </c>
      <c r="B82" s="246">
        <v>0</v>
      </c>
      <c r="C82" s="441" t="s">
        <v>103</v>
      </c>
      <c r="D82" s="442"/>
      <c r="E82" s="442"/>
      <c r="F82" s="442"/>
      <c r="G82" s="443"/>
      <c r="I82" s="248"/>
      <c r="J82" s="248"/>
      <c r="K82" s="248"/>
      <c r="L82" s="248"/>
    </row>
    <row r="83" spans="1:12" s="247" customFormat="1" ht="19.5" customHeight="1" thickBot="1" x14ac:dyDescent="0.35">
      <c r="A83" s="244" t="s">
        <v>48</v>
      </c>
      <c r="B83" s="249">
        <f>B81-B82</f>
        <v>99.5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247" customFormat="1" ht="27" customHeight="1" thickBot="1" x14ac:dyDescent="0.45">
      <c r="A84" s="244" t="s">
        <v>49</v>
      </c>
      <c r="B84" s="252">
        <v>1</v>
      </c>
      <c r="C84" s="444" t="s">
        <v>141</v>
      </c>
      <c r="D84" s="445"/>
      <c r="E84" s="445"/>
      <c r="F84" s="445"/>
      <c r="G84" s="445"/>
      <c r="H84" s="446"/>
      <c r="I84" s="248"/>
      <c r="J84" s="248"/>
      <c r="K84" s="248"/>
      <c r="L84" s="248"/>
    </row>
    <row r="85" spans="1:12" s="247" customFormat="1" ht="27" customHeight="1" thickBot="1" x14ac:dyDescent="0.45">
      <c r="A85" s="244" t="s">
        <v>51</v>
      </c>
      <c r="B85" s="252">
        <v>1</v>
      </c>
      <c r="C85" s="444" t="s">
        <v>142</v>
      </c>
      <c r="D85" s="445"/>
      <c r="E85" s="445"/>
      <c r="F85" s="445"/>
      <c r="G85" s="445"/>
      <c r="H85" s="446"/>
      <c r="I85" s="248"/>
      <c r="J85" s="248"/>
      <c r="K85" s="248"/>
      <c r="L85" s="248"/>
    </row>
    <row r="86" spans="1:12" s="247" customFormat="1" ht="18.75" x14ac:dyDescent="0.3">
      <c r="A86" s="244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247" customFormat="1" ht="18.75" x14ac:dyDescent="0.3">
      <c r="A87" s="244" t="s">
        <v>53</v>
      </c>
      <c r="B87" s="257">
        <f>B84/B85</f>
        <v>1</v>
      </c>
      <c r="C87" s="234" t="s">
        <v>54</v>
      </c>
      <c r="D87" s="234"/>
      <c r="E87" s="234"/>
      <c r="F87" s="234"/>
      <c r="G87" s="234"/>
      <c r="I87" s="248"/>
      <c r="J87" s="248"/>
      <c r="K87" s="248"/>
      <c r="L87" s="248"/>
    </row>
    <row r="88" spans="1:12" ht="19.5" customHeight="1" thickBot="1" x14ac:dyDescent="0.35">
      <c r="A88" s="242"/>
      <c r="B88" s="242"/>
    </row>
    <row r="89" spans="1:12" ht="27" customHeight="1" thickBot="1" x14ac:dyDescent="0.45">
      <c r="A89" s="258" t="s">
        <v>126</v>
      </c>
      <c r="B89" s="259">
        <v>100</v>
      </c>
      <c r="D89" s="337" t="s">
        <v>56</v>
      </c>
      <c r="E89" s="338"/>
      <c r="F89" s="447" t="s">
        <v>57</v>
      </c>
      <c r="G89" s="448"/>
    </row>
    <row r="90" spans="1:12" ht="27" customHeight="1" thickBot="1" x14ac:dyDescent="0.45">
      <c r="A90" s="260" t="s">
        <v>58</v>
      </c>
      <c r="B90" s="261">
        <v>4</v>
      </c>
      <c r="C90" s="339" t="s">
        <v>59</v>
      </c>
      <c r="D90" s="263" t="s">
        <v>60</v>
      </c>
      <c r="E90" s="264" t="s">
        <v>61</v>
      </c>
      <c r="F90" s="263" t="s">
        <v>60</v>
      </c>
      <c r="G90" s="340" t="s">
        <v>61</v>
      </c>
      <c r="I90" s="266" t="s">
        <v>127</v>
      </c>
    </row>
    <row r="91" spans="1:12" ht="26.25" customHeight="1" x14ac:dyDescent="0.4">
      <c r="A91" s="260" t="s">
        <v>62</v>
      </c>
      <c r="B91" s="261">
        <v>50</v>
      </c>
      <c r="C91" s="341">
        <v>1</v>
      </c>
      <c r="D91" s="78">
        <v>3902743</v>
      </c>
      <c r="E91" s="269">
        <f>IF(ISBLANK(D91),"-",$D$101/$D$98*D91)</f>
        <v>3541789.4928613901</v>
      </c>
      <c r="F91" s="169">
        <v>3424017</v>
      </c>
      <c r="G91" s="270">
        <f>IF(ISBLANK(F91),"-",$D$101/$F$98*F91)</f>
        <v>3488669.0141706094</v>
      </c>
      <c r="I91" s="271"/>
    </row>
    <row r="92" spans="1:12" ht="26.25" customHeight="1" x14ac:dyDescent="0.4">
      <c r="A92" s="260" t="s">
        <v>63</v>
      </c>
      <c r="B92" s="261">
        <v>1</v>
      </c>
      <c r="C92" s="290">
        <v>2</v>
      </c>
      <c r="D92" s="82">
        <v>3877213</v>
      </c>
      <c r="E92" s="274">
        <f>IF(ISBLANK(D92),"-",$D$101/$D$98*D92)</f>
        <v>3518620.6893422371</v>
      </c>
      <c r="F92" s="117">
        <v>3442535</v>
      </c>
      <c r="G92" s="275">
        <f>IF(ISBLANK(F92),"-",$D$101/$F$98*F92)</f>
        <v>3507536.6695602909</v>
      </c>
      <c r="I92" s="429">
        <f>ABS((F96/D96*D95)-F95)/D95</f>
        <v>7.5488433843842332E-3</v>
      </c>
    </row>
    <row r="93" spans="1:12" ht="26.25" customHeight="1" x14ac:dyDescent="0.4">
      <c r="A93" s="260" t="s">
        <v>64</v>
      </c>
      <c r="B93" s="261">
        <v>1</v>
      </c>
      <c r="C93" s="290">
        <v>3</v>
      </c>
      <c r="D93" s="82">
        <v>3880834</v>
      </c>
      <c r="E93" s="274">
        <f>IF(ISBLANK(D93),"-",$D$101/$D$98*D93)</f>
        <v>3521906.7934371391</v>
      </c>
      <c r="F93" s="171">
        <v>3431628</v>
      </c>
      <c r="G93" s="275">
        <f>IF(ISBLANK(F93),"-",$D$101/$F$98*F93)</f>
        <v>3496423.7244617241</v>
      </c>
      <c r="I93" s="429"/>
    </row>
    <row r="94" spans="1:12" ht="27" customHeight="1" thickBot="1" x14ac:dyDescent="0.45">
      <c r="A94" s="260" t="s">
        <v>65</v>
      </c>
      <c r="B94" s="261">
        <v>1</v>
      </c>
      <c r="C94" s="342">
        <v>4</v>
      </c>
      <c r="D94" s="277"/>
      <c r="E94" s="278" t="str">
        <f>IF(ISBLANK(D94),"-",$D$101/$D$98*D94)</f>
        <v>-</v>
      </c>
      <c r="F94" s="343"/>
      <c r="G94" s="279" t="str">
        <f>IF(ISBLANK(F94),"-",$D$101/$F$98*F94)</f>
        <v>-</v>
      </c>
      <c r="I94" s="280"/>
    </row>
    <row r="95" spans="1:12" ht="27" customHeight="1" thickBot="1" x14ac:dyDescent="0.45">
      <c r="A95" s="260" t="s">
        <v>66</v>
      </c>
      <c r="B95" s="261">
        <v>1</v>
      </c>
      <c r="C95" s="244" t="s">
        <v>67</v>
      </c>
      <c r="D95" s="344">
        <f>AVERAGE(D91:D94)</f>
        <v>3886930</v>
      </c>
      <c r="E95" s="283">
        <f>AVERAGE(E91:E94)</f>
        <v>3527438.9918802553</v>
      </c>
      <c r="F95" s="345">
        <f>AVERAGE(F91:F94)</f>
        <v>3432726.6666666665</v>
      </c>
      <c r="G95" s="346">
        <f>AVERAGE(G91:G94)</f>
        <v>3497543.1360642076</v>
      </c>
    </row>
    <row r="96" spans="1:12" ht="26.25" customHeight="1" x14ac:dyDescent="0.4">
      <c r="A96" s="260" t="s">
        <v>68</v>
      </c>
      <c r="B96" s="245">
        <v>1</v>
      </c>
      <c r="C96" s="347" t="s">
        <v>69</v>
      </c>
      <c r="D96" s="348">
        <v>24.61</v>
      </c>
      <c r="E96" s="234"/>
      <c r="F96" s="287">
        <v>21.92</v>
      </c>
    </row>
    <row r="97" spans="1:10" ht="26.25" customHeight="1" x14ac:dyDescent="0.4">
      <c r="A97" s="260" t="s">
        <v>70</v>
      </c>
      <c r="B97" s="245">
        <v>1</v>
      </c>
      <c r="C97" s="349" t="s">
        <v>71</v>
      </c>
      <c r="D97" s="350">
        <f>D96*$B$87</f>
        <v>24.61</v>
      </c>
      <c r="E97" s="290"/>
      <c r="F97" s="289">
        <f>F96*$B$87</f>
        <v>21.92</v>
      </c>
    </row>
    <row r="98" spans="1:10" ht="19.5" customHeight="1" thickBot="1" x14ac:dyDescent="0.35">
      <c r="A98" s="260" t="s">
        <v>72</v>
      </c>
      <c r="B98" s="290">
        <f>(B97/B96)*(B95/B94)*(B93/B92)*(B91/B90)*B89</f>
        <v>1250</v>
      </c>
      <c r="C98" s="349" t="s">
        <v>143</v>
      </c>
      <c r="D98" s="351">
        <f>D97*$B$83/100</f>
        <v>24.48695</v>
      </c>
      <c r="E98" s="292"/>
      <c r="F98" s="291">
        <f>F97*$B$83/100</f>
        <v>21.810400000000001</v>
      </c>
    </row>
    <row r="99" spans="1:10" ht="19.5" customHeight="1" thickBot="1" x14ac:dyDescent="0.35">
      <c r="A99" s="430" t="s">
        <v>74</v>
      </c>
      <c r="B99" s="431"/>
      <c r="C99" s="349" t="s">
        <v>144</v>
      </c>
      <c r="D99" s="352">
        <f>D98/$B$98</f>
        <v>1.9589559999999999E-2</v>
      </c>
      <c r="E99" s="292"/>
      <c r="F99" s="295">
        <f>F98/$B$98</f>
        <v>1.744832E-2</v>
      </c>
      <c r="H99" s="285"/>
    </row>
    <row r="100" spans="1:10" ht="19.5" customHeight="1" thickBot="1" x14ac:dyDescent="0.35">
      <c r="A100" s="432"/>
      <c r="B100" s="433"/>
      <c r="C100" s="349" t="s">
        <v>130</v>
      </c>
      <c r="D100" s="353">
        <f>$B$56/$B$116</f>
        <v>1.7777777777777778E-2</v>
      </c>
      <c r="F100" s="300"/>
      <c r="G100" s="354"/>
      <c r="H100" s="285"/>
    </row>
    <row r="101" spans="1:10" ht="18.75" x14ac:dyDescent="0.3">
      <c r="C101" s="349" t="s">
        <v>77</v>
      </c>
      <c r="D101" s="350">
        <f>D100*$B$98</f>
        <v>22.222222222222221</v>
      </c>
      <c r="F101" s="300"/>
      <c r="H101" s="285"/>
    </row>
    <row r="102" spans="1:10" ht="19.5" customHeight="1" thickBot="1" x14ac:dyDescent="0.35">
      <c r="C102" s="355" t="s">
        <v>78</v>
      </c>
      <c r="D102" s="356">
        <f>D101/B34</f>
        <v>22.222222222222221</v>
      </c>
      <c r="F102" s="304"/>
      <c r="H102" s="285"/>
      <c r="J102" s="357"/>
    </row>
    <row r="103" spans="1:10" ht="18.75" x14ac:dyDescent="0.3">
      <c r="C103" s="358" t="s">
        <v>145</v>
      </c>
      <c r="D103" s="359">
        <f>AVERAGE(E91:E94,G91:G94)</f>
        <v>3512491.0639722315</v>
      </c>
      <c r="F103" s="304"/>
      <c r="G103" s="354"/>
      <c r="H103" s="285"/>
      <c r="J103" s="360"/>
    </row>
    <row r="104" spans="1:10" ht="18.75" x14ac:dyDescent="0.3">
      <c r="C104" s="332" t="s">
        <v>80</v>
      </c>
      <c r="D104" s="361">
        <f>STDEV(E91:E94,G91:G94)/D103</f>
        <v>5.4537685321019297E-3</v>
      </c>
      <c r="F104" s="304"/>
      <c r="H104" s="285"/>
      <c r="J104" s="360"/>
    </row>
    <row r="105" spans="1:10" ht="19.5" customHeight="1" thickBot="1" x14ac:dyDescent="0.35">
      <c r="C105" s="334" t="s">
        <v>20</v>
      </c>
      <c r="D105" s="362">
        <f>COUNT(E91:E94,G91:G94)</f>
        <v>6</v>
      </c>
      <c r="F105" s="304"/>
      <c r="H105" s="285"/>
      <c r="J105" s="360"/>
    </row>
    <row r="106" spans="1:10" ht="19.5" customHeight="1" thickBot="1" x14ac:dyDescent="0.35">
      <c r="A106" s="308"/>
      <c r="B106" s="308"/>
      <c r="C106" s="308"/>
      <c r="D106" s="308"/>
      <c r="E106" s="308"/>
    </row>
    <row r="107" spans="1:10" ht="27" customHeight="1" thickBot="1" x14ac:dyDescent="0.45">
      <c r="A107" s="258" t="s">
        <v>106</v>
      </c>
      <c r="B107" s="259">
        <v>900</v>
      </c>
      <c r="C107" s="314" t="s">
        <v>146</v>
      </c>
      <c r="D107" s="314" t="s">
        <v>60</v>
      </c>
      <c r="E107" s="314" t="s">
        <v>108</v>
      </c>
      <c r="F107" s="363" t="s">
        <v>109</v>
      </c>
    </row>
    <row r="108" spans="1:10" ht="26.25" customHeight="1" x14ac:dyDescent="0.4">
      <c r="A108" s="260" t="s">
        <v>110</v>
      </c>
      <c r="B108" s="261">
        <v>1</v>
      </c>
      <c r="C108" s="315">
        <v>1</v>
      </c>
      <c r="D108" s="364">
        <v>3540031</v>
      </c>
      <c r="E108" s="365">
        <f t="shared" ref="E108:E113" si="1">IF(ISBLANK(D108),"-",D108/$D$103*$D$100*$B$116)</f>
        <v>16.125449138067268</v>
      </c>
      <c r="F108" s="366">
        <f t="shared" ref="F108:F113" si="2">IF(ISBLANK(D108), "-", (E108/$B$56)*100)</f>
        <v>100.78405711292042</v>
      </c>
    </row>
    <row r="109" spans="1:10" ht="26.25" customHeight="1" x14ac:dyDescent="0.4">
      <c r="A109" s="260" t="s">
        <v>111</v>
      </c>
      <c r="B109" s="261">
        <v>1</v>
      </c>
      <c r="C109" s="319">
        <v>2</v>
      </c>
      <c r="D109" s="367">
        <v>3473986</v>
      </c>
      <c r="E109" s="368">
        <f t="shared" si="1"/>
        <v>15.824602821093304</v>
      </c>
      <c r="F109" s="369">
        <f t="shared" si="2"/>
        <v>98.903767631833148</v>
      </c>
    </row>
    <row r="110" spans="1:10" ht="26.25" customHeight="1" x14ac:dyDescent="0.4">
      <c r="A110" s="260" t="s">
        <v>112</v>
      </c>
      <c r="B110" s="261">
        <v>1</v>
      </c>
      <c r="C110" s="319">
        <v>3</v>
      </c>
      <c r="D110" s="367">
        <v>3547463</v>
      </c>
      <c r="E110" s="368">
        <f t="shared" si="1"/>
        <v>16.159303174372067</v>
      </c>
      <c r="F110" s="369">
        <f t="shared" si="2"/>
        <v>100.99564483982542</v>
      </c>
    </row>
    <row r="111" spans="1:10" ht="26.25" customHeight="1" x14ac:dyDescent="0.4">
      <c r="A111" s="260" t="s">
        <v>113</v>
      </c>
      <c r="B111" s="261">
        <v>1</v>
      </c>
      <c r="C111" s="319">
        <v>4</v>
      </c>
      <c r="D111" s="367">
        <v>3512883</v>
      </c>
      <c r="E111" s="368">
        <f t="shared" si="1"/>
        <v>16.00178533591405</v>
      </c>
      <c r="F111" s="369">
        <f t="shared" si="2"/>
        <v>100.01115834946282</v>
      </c>
    </row>
    <row r="112" spans="1:10" ht="26.25" customHeight="1" x14ac:dyDescent="0.4">
      <c r="A112" s="260" t="s">
        <v>114</v>
      </c>
      <c r="B112" s="261">
        <v>1</v>
      </c>
      <c r="C112" s="319">
        <v>5</v>
      </c>
      <c r="D112" s="367">
        <v>3462768</v>
      </c>
      <c r="E112" s="368">
        <f t="shared" si="1"/>
        <v>15.773502904614935</v>
      </c>
      <c r="F112" s="369">
        <f t="shared" si="2"/>
        <v>98.584393153843337</v>
      </c>
    </row>
    <row r="113" spans="1:10" ht="27" customHeight="1" thickBot="1" x14ac:dyDescent="0.45">
      <c r="A113" s="260" t="s">
        <v>115</v>
      </c>
      <c r="B113" s="261">
        <v>1</v>
      </c>
      <c r="C113" s="323">
        <v>6</v>
      </c>
      <c r="D113" s="370">
        <v>3452168</v>
      </c>
      <c r="E113" s="371">
        <f t="shared" si="1"/>
        <v>15.725218084266324</v>
      </c>
      <c r="F113" s="372">
        <f t="shared" si="2"/>
        <v>98.282613026664521</v>
      </c>
    </row>
    <row r="114" spans="1:10" ht="27" customHeight="1" thickBot="1" x14ac:dyDescent="0.45">
      <c r="A114" s="260" t="s">
        <v>116</v>
      </c>
      <c r="B114" s="261">
        <v>1</v>
      </c>
      <c r="C114" s="373"/>
      <c r="D114" s="290"/>
      <c r="E114" s="234"/>
      <c r="F114" s="369"/>
    </row>
    <row r="115" spans="1:10" ht="26.25" customHeight="1" x14ac:dyDescent="0.4">
      <c r="A115" s="260" t="s">
        <v>117</v>
      </c>
      <c r="B115" s="261">
        <v>1</v>
      </c>
      <c r="C115" s="373"/>
      <c r="D115" s="374" t="s">
        <v>67</v>
      </c>
      <c r="E115" s="375">
        <f>AVERAGE(E108:E113)</f>
        <v>15.934976909721323</v>
      </c>
      <c r="F115" s="376">
        <f>AVERAGE(F108:F113)</f>
        <v>99.593605685758277</v>
      </c>
    </row>
    <row r="116" spans="1:10" ht="27" customHeight="1" thickBot="1" x14ac:dyDescent="0.45">
      <c r="A116" s="260" t="s">
        <v>118</v>
      </c>
      <c r="B116" s="272">
        <f>(B115/B114)*(B113/B112)*(B111/B110)*(B109/B108)*B107</f>
        <v>900</v>
      </c>
      <c r="C116" s="377"/>
      <c r="D116" s="378" t="s">
        <v>80</v>
      </c>
      <c r="E116" s="333">
        <f>STDEV(E108:E113)/E115</f>
        <v>1.1683914212890873E-2</v>
      </c>
      <c r="F116" s="379">
        <f>STDEV(F108:F113)/F115</f>
        <v>1.1683914212890891E-2</v>
      </c>
      <c r="I116" s="234"/>
    </row>
    <row r="117" spans="1:10" ht="27" customHeight="1" thickBot="1" x14ac:dyDescent="0.45">
      <c r="A117" s="430" t="s">
        <v>74</v>
      </c>
      <c r="B117" s="434"/>
      <c r="C117" s="380"/>
      <c r="D117" s="334" t="s">
        <v>20</v>
      </c>
      <c r="E117" s="381">
        <f>COUNT(E108:E113)</f>
        <v>6</v>
      </c>
      <c r="F117" s="382">
        <f>COUNT(F108:F113)</f>
        <v>6</v>
      </c>
      <c r="I117" s="234"/>
      <c r="J117" s="360"/>
    </row>
    <row r="118" spans="1:10" ht="26.25" customHeight="1" thickBot="1" x14ac:dyDescent="0.35">
      <c r="A118" s="432"/>
      <c r="B118" s="435"/>
      <c r="C118" s="234"/>
      <c r="D118" s="383"/>
      <c r="E118" s="436" t="s">
        <v>147</v>
      </c>
      <c r="F118" s="437"/>
      <c r="G118" s="234"/>
      <c r="H118" s="234"/>
      <c r="I118" s="234"/>
    </row>
    <row r="119" spans="1:10" ht="25.5" customHeight="1" x14ac:dyDescent="0.4">
      <c r="A119" s="384"/>
      <c r="B119" s="256"/>
      <c r="C119" s="234"/>
      <c r="D119" s="378" t="s">
        <v>148</v>
      </c>
      <c r="E119" s="385">
        <f>MIN(E108:E113)</f>
        <v>15.725218084266324</v>
      </c>
      <c r="F119" s="386">
        <f>MIN(F108:F113)</f>
        <v>98.282613026664521</v>
      </c>
      <c r="G119" s="234"/>
      <c r="H119" s="234"/>
      <c r="I119" s="234"/>
    </row>
    <row r="120" spans="1:10" ht="24" customHeight="1" thickBot="1" x14ac:dyDescent="0.45">
      <c r="A120" s="384"/>
      <c r="B120" s="256"/>
      <c r="C120" s="234"/>
      <c r="D120" s="301" t="s">
        <v>149</v>
      </c>
      <c r="E120" s="387">
        <f>MAX(E108:E113)</f>
        <v>16.159303174372067</v>
      </c>
      <c r="F120" s="388">
        <f>MAX(F108:F113)</f>
        <v>100.99564483982542</v>
      </c>
      <c r="G120" s="234"/>
      <c r="H120" s="234"/>
      <c r="I120" s="234"/>
    </row>
    <row r="121" spans="1:10" ht="27" customHeight="1" x14ac:dyDescent="0.3">
      <c r="A121" s="384"/>
      <c r="B121" s="256"/>
      <c r="C121" s="234"/>
      <c r="D121" s="234"/>
      <c r="E121" s="234"/>
      <c r="F121" s="290"/>
      <c r="G121" s="234"/>
      <c r="H121" s="234"/>
      <c r="I121" s="234"/>
    </row>
    <row r="122" spans="1:10" ht="25.5" customHeight="1" x14ac:dyDescent="0.3">
      <c r="A122" s="384"/>
      <c r="B122" s="256"/>
      <c r="C122" s="234"/>
      <c r="D122" s="234"/>
      <c r="E122" s="234"/>
      <c r="F122" s="290"/>
      <c r="G122" s="234"/>
      <c r="H122" s="234"/>
      <c r="I122" s="234"/>
    </row>
    <row r="123" spans="1:10" ht="18.75" x14ac:dyDescent="0.3">
      <c r="A123" s="384"/>
      <c r="B123" s="256"/>
      <c r="C123" s="234"/>
      <c r="D123" s="234"/>
      <c r="E123" s="234"/>
      <c r="F123" s="290"/>
      <c r="G123" s="234"/>
      <c r="H123" s="234"/>
      <c r="I123" s="234"/>
    </row>
    <row r="124" spans="1:10" ht="45.75" customHeight="1" x14ac:dyDescent="0.65">
      <c r="A124" s="243" t="s">
        <v>140</v>
      </c>
      <c r="B124" s="244" t="s">
        <v>119</v>
      </c>
      <c r="C124" s="438" t="str">
        <f>B26</f>
        <v>Betahistine Dihydrochloride</v>
      </c>
      <c r="D124" s="438"/>
      <c r="E124" s="234" t="s">
        <v>120</v>
      </c>
      <c r="F124" s="234"/>
      <c r="G124" s="389">
        <f>F115</f>
        <v>99.593605685758277</v>
      </c>
      <c r="H124" s="234"/>
      <c r="I124" s="234"/>
    </row>
    <row r="125" spans="1:10" ht="45.75" customHeight="1" x14ac:dyDescent="0.65">
      <c r="A125" s="243"/>
      <c r="B125" s="244" t="s">
        <v>150</v>
      </c>
      <c r="C125" s="244" t="s">
        <v>151</v>
      </c>
      <c r="D125" s="389">
        <f>MIN(F108:F113)</f>
        <v>98.282613026664521</v>
      </c>
      <c r="E125" s="244" t="s">
        <v>152</v>
      </c>
      <c r="F125" s="389">
        <f>MAX(F108:F113)</f>
        <v>100.99564483982542</v>
      </c>
      <c r="G125" s="336"/>
      <c r="H125" s="234"/>
      <c r="I125" s="234"/>
    </row>
    <row r="126" spans="1:10" ht="19.5" customHeight="1" thickBot="1" x14ac:dyDescent="0.35">
      <c r="A126" s="390"/>
      <c r="B126" s="390"/>
      <c r="C126" s="391"/>
      <c r="D126" s="391"/>
      <c r="E126" s="391"/>
      <c r="F126" s="391"/>
      <c r="G126" s="391"/>
      <c r="H126" s="391"/>
    </row>
    <row r="127" spans="1:10" ht="18.75" x14ac:dyDescent="0.3">
      <c r="B127" s="439" t="s">
        <v>23</v>
      </c>
      <c r="C127" s="439"/>
      <c r="E127" s="339" t="s">
        <v>24</v>
      </c>
      <c r="F127" s="392"/>
      <c r="G127" s="439" t="s">
        <v>25</v>
      </c>
      <c r="H127" s="439"/>
    </row>
    <row r="128" spans="1:10" ht="69.95" customHeight="1" x14ac:dyDescent="0.3">
      <c r="A128" s="243" t="s">
        <v>26</v>
      </c>
      <c r="B128" s="393"/>
      <c r="C128" s="393"/>
      <c r="E128" s="393"/>
      <c r="F128" s="234"/>
      <c r="G128" s="393"/>
      <c r="H128" s="393"/>
    </row>
    <row r="129" spans="1:9" ht="69.95" customHeight="1" x14ac:dyDescent="0.3">
      <c r="A129" s="243" t="s">
        <v>27</v>
      </c>
      <c r="B129" s="394"/>
      <c r="C129" s="394"/>
      <c r="E129" s="394"/>
      <c r="F129" s="234"/>
      <c r="G129" s="395"/>
      <c r="H129" s="395"/>
    </row>
    <row r="130" spans="1:9" ht="18.75" x14ac:dyDescent="0.3">
      <c r="A130" s="290"/>
      <c r="B130" s="290"/>
      <c r="C130" s="290"/>
      <c r="D130" s="290"/>
      <c r="E130" s="290"/>
      <c r="F130" s="292"/>
      <c r="G130" s="290"/>
      <c r="H130" s="290"/>
      <c r="I130" s="234"/>
    </row>
    <row r="131" spans="1:9" ht="18.75" x14ac:dyDescent="0.3">
      <c r="A131" s="290"/>
      <c r="B131" s="290"/>
      <c r="C131" s="290"/>
      <c r="D131" s="290"/>
      <c r="E131" s="290"/>
      <c r="F131" s="292"/>
      <c r="G131" s="290"/>
      <c r="H131" s="290"/>
      <c r="I131" s="234"/>
    </row>
    <row r="132" spans="1:9" ht="18.75" x14ac:dyDescent="0.3">
      <c r="A132" s="290"/>
      <c r="B132" s="290"/>
      <c r="C132" s="290"/>
      <c r="D132" s="290"/>
      <c r="E132" s="290"/>
      <c r="F132" s="292"/>
      <c r="G132" s="290"/>
      <c r="H132" s="290"/>
      <c r="I132" s="234"/>
    </row>
    <row r="133" spans="1:9" ht="18.75" x14ac:dyDescent="0.3">
      <c r="A133" s="290"/>
      <c r="B133" s="290"/>
      <c r="C133" s="290"/>
      <c r="D133" s="290"/>
      <c r="E133" s="290"/>
      <c r="F133" s="292"/>
      <c r="G133" s="290"/>
      <c r="H133" s="290"/>
      <c r="I133" s="234"/>
    </row>
    <row r="134" spans="1:9" ht="18.75" x14ac:dyDescent="0.3">
      <c r="A134" s="290"/>
      <c r="B134" s="290"/>
      <c r="C134" s="290"/>
      <c r="D134" s="290"/>
      <c r="E134" s="290"/>
      <c r="F134" s="292"/>
      <c r="G134" s="290"/>
      <c r="H134" s="290"/>
      <c r="I134" s="234"/>
    </row>
    <row r="135" spans="1:9" ht="18.75" x14ac:dyDescent="0.3">
      <c r="A135" s="290"/>
      <c r="B135" s="290"/>
      <c r="C135" s="290"/>
      <c r="D135" s="290"/>
      <c r="E135" s="290"/>
      <c r="F135" s="292"/>
      <c r="G135" s="290"/>
      <c r="H135" s="290"/>
      <c r="I135" s="234"/>
    </row>
    <row r="136" spans="1:9" ht="18.75" x14ac:dyDescent="0.3">
      <c r="A136" s="290"/>
      <c r="B136" s="290"/>
      <c r="C136" s="290"/>
      <c r="D136" s="290"/>
      <c r="E136" s="290"/>
      <c r="F136" s="292"/>
      <c r="G136" s="290"/>
      <c r="H136" s="290"/>
      <c r="I136" s="234"/>
    </row>
    <row r="137" spans="1:9" ht="18.75" x14ac:dyDescent="0.3">
      <c r="A137" s="290"/>
      <c r="B137" s="290"/>
      <c r="C137" s="290"/>
      <c r="D137" s="290"/>
      <c r="E137" s="290"/>
      <c r="F137" s="292"/>
      <c r="G137" s="290"/>
      <c r="H137" s="290"/>
      <c r="I137" s="234"/>
    </row>
    <row r="138" spans="1:9" ht="18.75" x14ac:dyDescent="0.3">
      <c r="A138" s="290"/>
      <c r="B138" s="290"/>
      <c r="C138" s="290"/>
      <c r="D138" s="290"/>
      <c r="E138" s="290"/>
      <c r="F138" s="292"/>
      <c r="G138" s="290"/>
      <c r="H138" s="290"/>
      <c r="I138" s="234"/>
    </row>
    <row r="250" spans="1:1" x14ac:dyDescent="0.25">
      <c r="A250" s="232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(2)</vt:lpstr>
      <vt:lpstr>Uniformity</vt:lpstr>
      <vt:lpstr>Betahistine Dihydrochloride</vt:lpstr>
      <vt:lpstr>Betahistine Dihydrochloride 1</vt:lpstr>
      <vt:lpstr>'Betahistine Dihydrochloride'!Print_Area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2017-05-29T09:37:26Z</cp:lastPrinted>
  <dcterms:created xsi:type="dcterms:W3CDTF">2005-07-05T10:19:27Z</dcterms:created>
  <dcterms:modified xsi:type="dcterms:W3CDTF">2017-05-29T09:37:39Z</dcterms:modified>
</cp:coreProperties>
</file>